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DieseArbeitsmappe" defaultThemeVersion="124226"/>
  <bookViews>
    <workbookView xWindow="0" yWindow="0" windowWidth="19440" windowHeight="10635" tabRatio="834" firstSheet="14" activeTab="31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prapambetura'!$A$3:$L$36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45621"/>
</workbook>
</file>

<file path=xl/calcChain.xml><?xml version="1.0" encoding="utf-8"?>
<calcChain xmlns="http://schemas.openxmlformats.org/spreadsheetml/2006/main">
  <c r="G94" i="241" l="1"/>
  <c r="F86" i="241"/>
  <c r="E78" i="241" l="1"/>
  <c r="E76" i="241"/>
  <c r="E75" i="241"/>
  <c r="E53" i="241"/>
  <c r="E51" i="241"/>
  <c r="E46" i="241"/>
  <c r="E42" i="241"/>
  <c r="B18" i="241" l="1"/>
  <c r="C18" i="241"/>
  <c r="F44" i="30" l="1"/>
  <c r="E44" i="30"/>
  <c r="H8" i="30"/>
  <c r="G8" i="30"/>
  <c r="F8" i="30"/>
  <c r="E8" i="30"/>
  <c r="G90" i="198" l="1"/>
  <c r="G89" i="198"/>
  <c r="F89" i="224"/>
  <c r="G90" i="207"/>
  <c r="G89" i="207"/>
  <c r="F90" i="207"/>
  <c r="F89" i="207"/>
  <c r="F207" i="204"/>
  <c r="F206" i="204"/>
  <c r="G129" i="212" l="1"/>
  <c r="G128" i="212"/>
  <c r="E155" i="45" l="1"/>
  <c r="E467" i="45"/>
  <c r="E465" i="45"/>
  <c r="E299" i="45"/>
  <c r="E275" i="45"/>
  <c r="E272" i="45"/>
  <c r="E197" i="45"/>
  <c r="E194" i="45"/>
  <c r="E17" i="45"/>
  <c r="E14" i="45"/>
  <c r="D437" i="45"/>
  <c r="D434" i="45"/>
  <c r="D197" i="45"/>
  <c r="D194" i="45"/>
  <c r="D467" i="45"/>
  <c r="D465" i="45"/>
  <c r="D413" i="45"/>
  <c r="D411" i="45"/>
  <c r="D299" i="45"/>
  <c r="D297" i="45"/>
  <c r="D155" i="45"/>
  <c r="D134" i="45"/>
  <c r="D137" i="45"/>
  <c r="D17" i="45"/>
  <c r="D14" i="45"/>
  <c r="I169" i="60" l="1"/>
  <c r="M149" i="60"/>
  <c r="E149" i="60"/>
  <c r="I149" i="60"/>
  <c r="O169" i="60" l="1"/>
  <c r="M10" i="60"/>
  <c r="N120" i="60"/>
  <c r="M120" i="60"/>
  <c r="N124" i="60"/>
  <c r="M159" i="60"/>
  <c r="K169" i="60"/>
  <c r="I159" i="60"/>
  <c r="J124" i="60"/>
  <c r="J120" i="60"/>
  <c r="I120" i="60"/>
  <c r="I10" i="60"/>
  <c r="G169" i="60"/>
  <c r="E159" i="60" l="1"/>
  <c r="F88" i="98"/>
  <c r="E88" i="98"/>
  <c r="D88" i="98"/>
  <c r="F120" i="60" l="1"/>
  <c r="E120" i="60"/>
  <c r="F124" i="60"/>
  <c r="E10" i="60"/>
  <c r="D341" i="45"/>
  <c r="E341" i="45"/>
  <c r="E339" i="45"/>
  <c r="D339" i="45"/>
  <c r="E338" i="45"/>
  <c r="D338" i="45"/>
  <c r="E327" i="45"/>
  <c r="D327" i="45"/>
  <c r="E326" i="45"/>
  <c r="D326" i="45"/>
  <c r="E309" i="45"/>
  <c r="D309" i="45"/>
  <c r="E308" i="45"/>
  <c r="D308" i="45"/>
  <c r="E297" i="45"/>
  <c r="E296" i="45"/>
  <c r="D296" i="45"/>
  <c r="D275" i="45"/>
  <c r="E273" i="45"/>
  <c r="D273" i="45"/>
  <c r="D272" i="45"/>
  <c r="E195" i="45"/>
  <c r="D195" i="45"/>
  <c r="E137" i="45"/>
  <c r="E134" i="45"/>
  <c r="E104" i="45"/>
  <c r="D104" i="45"/>
  <c r="E365" i="45"/>
  <c r="D365" i="45"/>
  <c r="E363" i="45"/>
  <c r="D363" i="45"/>
  <c r="E362" i="45"/>
  <c r="D362" i="45"/>
  <c r="E375" i="45"/>
  <c r="D375" i="45"/>
  <c r="E374" i="45"/>
  <c r="D374" i="45"/>
  <c r="D389" i="45"/>
  <c r="E389" i="45"/>
  <c r="E386" i="45"/>
  <c r="D386" i="45"/>
  <c r="E413" i="45"/>
  <c r="E411" i="45"/>
  <c r="E410" i="45"/>
  <c r="D410" i="45"/>
  <c r="E434" i="45"/>
  <c r="E77" i="45"/>
  <c r="D77" i="45"/>
  <c r="E75" i="45"/>
  <c r="D75" i="45"/>
  <c r="E74" i="45"/>
  <c r="D74" i="45"/>
  <c r="E62" i="45"/>
  <c r="D62" i="45"/>
  <c r="E20" i="45"/>
  <c r="D20" i="45"/>
  <c r="E15" i="45"/>
  <c r="D15" i="45"/>
  <c r="C413" i="45"/>
  <c r="C411" i="45"/>
  <c r="C434" i="45"/>
  <c r="C77" i="45"/>
  <c r="C75" i="45"/>
  <c r="C104" i="45"/>
  <c r="C137" i="45"/>
  <c r="C134" i="45"/>
  <c r="C155" i="45"/>
  <c r="C275" i="45"/>
  <c r="C273" i="45"/>
  <c r="C272" i="45"/>
  <c r="C297" i="45"/>
  <c r="C296" i="45"/>
  <c r="C195" i="45"/>
  <c r="C194" i="45"/>
  <c r="C309" i="45"/>
  <c r="C308" i="45"/>
  <c r="C327" i="45"/>
  <c r="C326" i="45"/>
  <c r="C341" i="45"/>
  <c r="C339" i="45"/>
  <c r="C338" i="45"/>
  <c r="C375" i="45"/>
  <c r="C374" i="45"/>
  <c r="C362" i="45"/>
  <c r="C365" i="45"/>
  <c r="C363" i="45"/>
  <c r="C14" i="45"/>
  <c r="C389" i="45"/>
  <c r="C386" i="45"/>
  <c r="C410" i="45"/>
  <c r="C74" i="45"/>
  <c r="C62" i="45"/>
  <c r="C20" i="45"/>
  <c r="C17" i="45"/>
  <c r="C15" i="45"/>
  <c r="F51" i="232"/>
  <c r="F56" i="232"/>
  <c r="F122" i="232"/>
  <c r="F96" i="232"/>
  <c r="E56" i="232"/>
  <c r="D56" i="232"/>
  <c r="E51" i="232" l="1"/>
  <c r="E96" i="232"/>
  <c r="E52" i="232"/>
  <c r="D51" i="232"/>
  <c r="D129" i="232"/>
  <c r="D96" i="232"/>
  <c r="P26" i="113" l="1"/>
  <c r="L26" i="113"/>
  <c r="H68" i="30" l="1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G7" i="30"/>
  <c r="G71" i="30" s="1"/>
  <c r="F7" i="30"/>
  <c r="E7" i="30"/>
  <c r="H71" i="30" l="1"/>
  <c r="E71" i="30"/>
  <c r="F71" i="30"/>
  <c r="A1" i="113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2" i="241"/>
  <c r="B102" i="241"/>
  <c r="B2" i="241" l="1"/>
  <c r="D102" i="241"/>
  <c r="E102" i="241"/>
  <c r="F102" i="241"/>
  <c r="G102" i="241"/>
  <c r="H102" i="241"/>
  <c r="C102" i="241"/>
  <c r="A1" i="241"/>
  <c r="C37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49" i="234"/>
  <c r="AN45" i="234"/>
  <c r="AN51" i="234"/>
  <c r="AN60" i="234"/>
  <c r="AN9" i="234"/>
  <c r="AN17" i="234"/>
  <c r="AN48" i="234"/>
  <c r="AN47" i="234"/>
  <c r="AN61" i="234"/>
  <c r="AN34" i="234"/>
  <c r="AN16" i="234"/>
  <c r="AN25" i="234"/>
  <c r="AN27" i="234"/>
  <c r="AN46" i="234"/>
  <c r="AN19" i="234"/>
  <c r="AN13" i="234"/>
  <c r="AN40" i="234"/>
  <c r="AN44" i="234"/>
  <c r="AN11" i="234"/>
  <c r="AN56" i="234"/>
  <c r="AN43" i="234"/>
  <c r="AN55" i="234"/>
  <c r="AN20" i="234"/>
  <c r="AN53" i="234"/>
  <c r="AN29" i="234"/>
  <c r="AN33" i="234"/>
  <c r="AN12" i="234"/>
  <c r="AN54" i="234"/>
  <c r="AN52" i="234"/>
  <c r="AN21" i="234"/>
  <c r="AN63" i="234"/>
  <c r="AN57" i="234"/>
  <c r="AN39" i="234"/>
  <c r="AN37" i="234"/>
  <c r="AN59" i="234"/>
  <c r="AN42" i="234"/>
  <c r="AN38" i="234"/>
  <c r="AN14" i="234"/>
  <c r="AN31" i="234"/>
  <c r="AN18" i="234"/>
  <c r="AN62" i="234"/>
  <c r="AN30" i="234"/>
  <c r="AN41" i="234"/>
  <c r="AN26" i="234"/>
  <c r="AN15" i="234"/>
  <c r="AN24" i="234"/>
  <c r="AN35" i="234"/>
  <c r="AN58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27" i="191"/>
  <c r="O27" i="191"/>
  <c r="P23" i="191"/>
  <c r="O23" i="191"/>
  <c r="P19" i="191"/>
  <c r="O19" i="191"/>
  <c r="P15" i="191"/>
  <c r="O15" i="191"/>
  <c r="P28" i="191"/>
  <c r="O2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AO37" i="234"/>
  <c r="AP45" i="234"/>
  <c r="AO61" i="234"/>
  <c r="AO57" i="234"/>
  <c r="AQ13" i="234"/>
  <c r="AZ42" i="234"/>
  <c r="AZ44" i="234"/>
  <c r="AP58" i="234"/>
  <c r="AQ19" i="234"/>
  <c r="AP31" i="234"/>
  <c r="AO63" i="234"/>
  <c r="AO39" i="234"/>
  <c r="AQ47" i="234"/>
  <c r="AZ17" i="234"/>
  <c r="AZ35" i="234"/>
  <c r="AP33" i="234"/>
  <c r="AO38" i="234"/>
  <c r="AO24" i="234"/>
  <c r="AZ46" i="234"/>
  <c r="AZ13" i="234"/>
  <c r="AQ49" i="234"/>
  <c r="AO17" i="234"/>
  <c r="AO19" i="234"/>
  <c r="AQ38" i="234"/>
  <c r="AO59" i="234"/>
  <c r="AZ21" i="234"/>
  <c r="AP53" i="234"/>
  <c r="AP62" i="234"/>
  <c r="AZ29" i="234"/>
  <c r="AZ49" i="234"/>
  <c r="AZ41" i="234"/>
  <c r="AZ62" i="234"/>
  <c r="AO54" i="234"/>
  <c r="AQ42" i="234"/>
  <c r="AP42" i="234"/>
  <c r="AZ12" i="234"/>
  <c r="AQ53" i="234"/>
  <c r="AO9" i="234"/>
  <c r="AZ47" i="234"/>
  <c r="AZ55" i="234"/>
  <c r="AP20" i="234"/>
  <c r="AP61" i="234"/>
  <c r="AZ40" i="234"/>
  <c r="AO48" i="234"/>
  <c r="AZ45" i="234"/>
  <c r="AO11" i="234"/>
  <c r="AZ19" i="234"/>
  <c r="AZ52" i="234"/>
  <c r="AO51" i="234"/>
  <c r="AQ34" i="234"/>
  <c r="AP35" i="234"/>
  <c r="AZ37" i="234"/>
  <c r="AQ27" i="234"/>
  <c r="AZ26" i="234"/>
  <c r="AZ43" i="234"/>
  <c r="AQ30" i="234"/>
  <c r="AZ60" i="234"/>
  <c r="AQ15" i="234"/>
  <c r="AP25" i="234"/>
  <c r="AQ62" i="234"/>
  <c r="AP54" i="234"/>
  <c r="AQ40" i="234"/>
  <c r="AO31" i="234"/>
  <c r="AZ9" i="234"/>
  <c r="AP29" i="234"/>
  <c r="AO46" i="234"/>
  <c r="AQ63" i="234"/>
  <c r="AQ56" i="234"/>
  <c r="AP18" i="234"/>
  <c r="AO55" i="234"/>
  <c r="AQ16" i="234"/>
  <c r="AP59" i="234"/>
  <c r="AZ14" i="234"/>
  <c r="AQ24" i="234"/>
  <c r="AO60" i="234"/>
  <c r="AP51" i="234"/>
  <c r="AP41" i="234"/>
  <c r="AO29" i="234"/>
  <c r="AQ33" i="234"/>
  <c r="AO26" i="234"/>
  <c r="AO62" i="234"/>
  <c r="AP46" i="234"/>
  <c r="AZ33" i="234"/>
  <c r="AO43" i="234"/>
  <c r="AQ11" i="234"/>
  <c r="AQ35" i="234"/>
  <c r="AP16" i="234"/>
  <c r="AQ21" i="234"/>
  <c r="AZ51" i="234"/>
  <c r="AZ63" i="234"/>
  <c r="AZ59" i="234"/>
  <c r="AP11" i="234"/>
  <c r="AP63" i="234"/>
  <c r="AQ31" i="234"/>
  <c r="AZ61" i="234"/>
  <c r="AO45" i="234"/>
  <c r="AQ12" i="234"/>
  <c r="AO27" i="234"/>
  <c r="AP38" i="234"/>
  <c r="AQ41" i="234"/>
  <c r="AO14" i="234"/>
  <c r="AO20" i="234"/>
  <c r="AZ31" i="234"/>
  <c r="AP60" i="234"/>
  <c r="AP24" i="234"/>
  <c r="AP47" i="234"/>
  <c r="AO41" i="234"/>
  <c r="AP57" i="234"/>
  <c r="AQ17" i="234"/>
  <c r="AQ29" i="234"/>
  <c r="AQ43" i="234"/>
  <c r="AP9" i="234"/>
  <c r="AZ16" i="234"/>
  <c r="AO47" i="234"/>
  <c r="AP52" i="234"/>
  <c r="AQ45" i="234"/>
  <c r="AQ60" i="234"/>
  <c r="AP40" i="234"/>
  <c r="AQ26" i="234"/>
  <c r="AP43" i="234"/>
  <c r="AQ59" i="234"/>
  <c r="AP56" i="234"/>
  <c r="AO15" i="234"/>
  <c r="AO53" i="234"/>
  <c r="AP13" i="234"/>
  <c r="AO42" i="234"/>
  <c r="AZ54" i="234"/>
  <c r="AQ39" i="234"/>
  <c r="AO30" i="234"/>
  <c r="AQ51" i="234"/>
  <c r="AQ48" i="234"/>
  <c r="AP15" i="234"/>
  <c r="AZ18" i="234"/>
  <c r="AQ54" i="234"/>
  <c r="AZ30" i="234"/>
  <c r="AQ58" i="234"/>
  <c r="AZ20" i="234"/>
  <c r="AQ55" i="234"/>
  <c r="AO33" i="234"/>
  <c r="AO58" i="234"/>
  <c r="AO49" i="234"/>
  <c r="AO44" i="234"/>
  <c r="AZ48" i="234"/>
  <c r="AZ15" i="234"/>
  <c r="AO35" i="234"/>
  <c r="AQ25" i="234"/>
  <c r="AO34" i="234"/>
  <c r="AQ18" i="234"/>
  <c r="AQ52" i="234"/>
  <c r="AP21" i="234"/>
  <c r="AP34" i="234"/>
  <c r="AZ38" i="234"/>
  <c r="AO18" i="234"/>
  <c r="AP39" i="234"/>
  <c r="AQ9" i="234"/>
  <c r="AP12" i="234"/>
  <c r="AP19" i="234"/>
  <c r="AQ44" i="234"/>
  <c r="AP30" i="234"/>
  <c r="AP48" i="234"/>
  <c r="AQ37" i="234"/>
  <c r="AO40" i="234"/>
  <c r="AQ61" i="234"/>
  <c r="AZ57" i="234"/>
  <c r="AP17" i="234"/>
  <c r="AP55" i="234"/>
  <c r="AO12" i="234"/>
  <c r="AO52" i="234"/>
  <c r="AQ46" i="234"/>
  <c r="AZ39" i="234"/>
  <c r="AQ20" i="234"/>
  <c r="AZ56" i="234"/>
  <c r="AP27" i="234"/>
  <c r="AZ25" i="234"/>
  <c r="AZ34" i="234"/>
  <c r="AP44" i="234"/>
  <c r="AO25" i="234"/>
  <c r="AZ58" i="234"/>
  <c r="AP14" i="234"/>
  <c r="AO21" i="234"/>
  <c r="AZ11" i="234"/>
  <c r="AO56" i="234"/>
  <c r="AO13" i="234"/>
  <c r="AQ57" i="234"/>
  <c r="AO16" i="234"/>
  <c r="AP49" i="234"/>
  <c r="AZ24" i="234"/>
  <c r="AP26" i="234"/>
  <c r="AZ27" i="234"/>
  <c r="AZ53" i="234"/>
  <c r="AP37" i="234"/>
  <c r="AQ14" i="234"/>
  <c r="H6" i="192" l="1"/>
  <c r="Q6" i="192" l="1"/>
  <c r="Z6" i="192" s="1"/>
  <c r="I5" i="183"/>
  <c r="BB40" i="234"/>
  <c r="AR20" i="234"/>
  <c r="BB58" i="234"/>
  <c r="AS46" i="234"/>
  <c r="AR34" i="234"/>
  <c r="BB29" i="234"/>
  <c r="BB15" i="234"/>
  <c r="AS27" i="234"/>
  <c r="AS17" i="234"/>
  <c r="AS52" i="234"/>
  <c r="AS30" i="234"/>
  <c r="BA51" i="234"/>
  <c r="AS29" i="234"/>
  <c r="AS35" i="234"/>
  <c r="AR42" i="234"/>
  <c r="BA30" i="234"/>
  <c r="AR51" i="234"/>
  <c r="AR18" i="234"/>
  <c r="BB37" i="234"/>
  <c r="BB45" i="234"/>
  <c r="BB12" i="234"/>
  <c r="AS15" i="234"/>
  <c r="BA34" i="234"/>
  <c r="BA48" i="234"/>
  <c r="BA57" i="234"/>
  <c r="BA45" i="234"/>
  <c r="AS13" i="234"/>
  <c r="BA62" i="234"/>
  <c r="AR29" i="234"/>
  <c r="AS57" i="234"/>
  <c r="BA24" i="234"/>
  <c r="BA16" i="234"/>
  <c r="BB21" i="234"/>
  <c r="BB34" i="234"/>
  <c r="BB41" i="234"/>
  <c r="AS37" i="234"/>
  <c r="AS43" i="234"/>
  <c r="BB55" i="234"/>
  <c r="AR12" i="234"/>
  <c r="BB43" i="234"/>
  <c r="AR45" i="234"/>
  <c r="AR15" i="234"/>
  <c r="BA58" i="234"/>
  <c r="AS48" i="234"/>
  <c r="BA20" i="234"/>
  <c r="AS51" i="234"/>
  <c r="AS42" i="234"/>
  <c r="BB51" i="234"/>
  <c r="BA27" i="234"/>
  <c r="AS56" i="234"/>
  <c r="AS61" i="234"/>
  <c r="BB56" i="234"/>
  <c r="AR43" i="234"/>
  <c r="AR31" i="234"/>
  <c r="BA39" i="234"/>
  <c r="AS21" i="234"/>
  <c r="AS9" i="234"/>
  <c r="AR63" i="234"/>
  <c r="BA11" i="234"/>
  <c r="BB48" i="234"/>
  <c r="BB31" i="234"/>
  <c r="BB25" i="234"/>
  <c r="AS34" i="234"/>
  <c r="AR47" i="234"/>
  <c r="BB54" i="234"/>
  <c r="AR39" i="234"/>
  <c r="AR61" i="234"/>
  <c r="BA56" i="234"/>
  <c r="AR41" i="234"/>
  <c r="BB24" i="234"/>
  <c r="BB46" i="234"/>
  <c r="BB42" i="234"/>
  <c r="AS62" i="234"/>
  <c r="AS53" i="234"/>
  <c r="BA55" i="234"/>
  <c r="BB30" i="234"/>
  <c r="AS18" i="234"/>
  <c r="BB33" i="234"/>
  <c r="BA21" i="234"/>
  <c r="BA54" i="234"/>
  <c r="AR55" i="234"/>
  <c r="BA17" i="234"/>
  <c r="AS60" i="234"/>
  <c r="BB57" i="234"/>
  <c r="BA33" i="234"/>
  <c r="BB16" i="234"/>
  <c r="BA12" i="234"/>
  <c r="AS38" i="234"/>
  <c r="BB52" i="234"/>
  <c r="AS11" i="234"/>
  <c r="AS31" i="234"/>
  <c r="AR60" i="234"/>
  <c r="AR27" i="234"/>
  <c r="AR17" i="234"/>
  <c r="BA29" i="234"/>
  <c r="BB20" i="234"/>
  <c r="BA38" i="234"/>
  <c r="AR37" i="234"/>
  <c r="BB49" i="234"/>
  <c r="BA63" i="234"/>
  <c r="AR26" i="234"/>
  <c r="AR11" i="234"/>
  <c r="AR14" i="234"/>
  <c r="BA43" i="234"/>
  <c r="AS63" i="234"/>
  <c r="BA31" i="234"/>
  <c r="BA40" i="234"/>
  <c r="BA35" i="234"/>
  <c r="AS14" i="234"/>
  <c r="AS19" i="234"/>
  <c r="BB47" i="234"/>
  <c r="BB26" i="234"/>
  <c r="BA37" i="234"/>
  <c r="BB38" i="234"/>
  <c r="AS16" i="234"/>
  <c r="AS44" i="234"/>
  <c r="BB11" i="234"/>
  <c r="AS20" i="234"/>
  <c r="AR46" i="234"/>
  <c r="BB27" i="234"/>
  <c r="AS59" i="234"/>
  <c r="AS47" i="234"/>
  <c r="BB18" i="234"/>
  <c r="AR33" i="234"/>
  <c r="AS55" i="234"/>
  <c r="BA41" i="234"/>
  <c r="AS41" i="234"/>
  <c r="AR21" i="234"/>
  <c r="AR38" i="234"/>
  <c r="AR57" i="234"/>
  <c r="BA14" i="234"/>
  <c r="BB62" i="234"/>
  <c r="BB14" i="234"/>
  <c r="BA44" i="234"/>
  <c r="BB63" i="234"/>
  <c r="BB61" i="234"/>
  <c r="AR54" i="234"/>
  <c r="AR62" i="234"/>
  <c r="BA18" i="234"/>
  <c r="AS24" i="234"/>
  <c r="AR13" i="234"/>
  <c r="AR24" i="234"/>
  <c r="BA19" i="234"/>
  <c r="BB44" i="234"/>
  <c r="AS26" i="234"/>
  <c r="BA52" i="234"/>
  <c r="BB53" i="234"/>
  <c r="BA59" i="234"/>
  <c r="AS45" i="234"/>
  <c r="BA42" i="234"/>
  <c r="AS39" i="234"/>
  <c r="AS54" i="234"/>
  <c r="AR44" i="234"/>
  <c r="AS25" i="234"/>
  <c r="BB13" i="234"/>
  <c r="AS49" i="234"/>
  <c r="AS58" i="234"/>
  <c r="AR58" i="234"/>
  <c r="BA9" i="234"/>
  <c r="AR30" i="234"/>
  <c r="AR52" i="234"/>
  <c r="BB59" i="234"/>
  <c r="AR19" i="234"/>
  <c r="BB17" i="234"/>
  <c r="BB9" i="234"/>
  <c r="BB39" i="234"/>
  <c r="AR9" i="234"/>
  <c r="AR49" i="234"/>
  <c r="BA26" i="234"/>
  <c r="BA13" i="234"/>
  <c r="AR35" i="234"/>
  <c r="BA53" i="234"/>
  <c r="AR59" i="234"/>
  <c r="AR56" i="234"/>
  <c r="BB35" i="234"/>
  <c r="BA49" i="234"/>
  <c r="BA60" i="234"/>
  <c r="BA61" i="234"/>
  <c r="AR16" i="234"/>
  <c r="BB19" i="234"/>
  <c r="AS33" i="234"/>
  <c r="AR48" i="234"/>
  <c r="BA46" i="234"/>
  <c r="AR53" i="234"/>
  <c r="AR40" i="234"/>
  <c r="BA15" i="234"/>
  <c r="AS12" i="234"/>
  <c r="BA25" i="234"/>
  <c r="AR25" i="234"/>
  <c r="AS40" i="234"/>
  <c r="BA47" i="234"/>
  <c r="BB60" i="234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66" i="213"/>
  <c r="G144" i="213" s="1"/>
  <c r="G66" i="214"/>
  <c r="G66" i="215"/>
  <c r="G66" i="217"/>
  <c r="G66" i="218"/>
  <c r="G183" i="218" s="1"/>
  <c r="G66" i="219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105" i="214" s="1"/>
  <c r="F66" i="215"/>
  <c r="F66" i="217"/>
  <c r="F66" i="218"/>
  <c r="F66" i="219"/>
  <c r="F66" i="220"/>
  <c r="F66" i="222"/>
  <c r="F66" i="223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144" i="203" s="1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144" i="211" s="1"/>
  <c r="E66" i="212"/>
  <c r="E66" i="213"/>
  <c r="E144" i="213" s="1"/>
  <c r="E66" i="214"/>
  <c r="E66" i="215"/>
  <c r="E144" i="215" s="1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3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D171" i="220" s="1"/>
  <c r="C93" i="220"/>
  <c r="D92" i="220"/>
  <c r="D170" i="220" s="1"/>
  <c r="C92" i="220"/>
  <c r="D91" i="220"/>
  <c r="C91" i="220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C83" i="216"/>
  <c r="C122" i="216" s="1"/>
  <c r="D82" i="216"/>
  <c r="C82" i="216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D78" i="214"/>
  <c r="D156" i="214" s="1"/>
  <c r="C78" i="214"/>
  <c r="C117" i="214" s="1"/>
  <c r="D77" i="214"/>
  <c r="C77" i="214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G74" i="214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O87" i="212"/>
  <c r="N87" i="212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50" i="207"/>
  <c r="O147" i="213"/>
  <c r="O150" i="224"/>
  <c r="C105" i="225"/>
  <c r="D108" i="219"/>
  <c r="B204" i="220"/>
  <c r="K144" i="206"/>
  <c r="K111" i="199"/>
  <c r="K228" i="199" s="1"/>
  <c r="O62" i="200"/>
  <c r="N189" i="206"/>
  <c r="N150" i="206"/>
  <c r="O111" i="203"/>
  <c r="O267" i="203" s="1"/>
  <c r="O189" i="203"/>
  <c r="L186" i="203"/>
  <c r="O150" i="203"/>
  <c r="C129" i="209"/>
  <c r="M125" i="204"/>
  <c r="B108" i="206"/>
  <c r="M111" i="206"/>
  <c r="F166" i="207"/>
  <c r="G108" i="208"/>
  <c r="G114" i="205"/>
  <c r="D105" i="206"/>
  <c r="F108" i="206"/>
  <c r="B147" i="206"/>
  <c r="L144" i="213"/>
  <c r="L105" i="213"/>
  <c r="K108" i="213"/>
  <c r="K147" i="213"/>
  <c r="G144" i="223"/>
  <c r="J147" i="223"/>
  <c r="N147" i="223"/>
  <c r="H144" i="217"/>
  <c r="J144" i="219"/>
  <c r="E105" i="222"/>
  <c r="M105" i="222"/>
  <c r="C118" i="222"/>
  <c r="E105" i="214"/>
  <c r="H105" i="222"/>
  <c r="G114" i="225"/>
  <c r="D119" i="220"/>
  <c r="L125" i="220"/>
  <c r="K111" i="220"/>
  <c r="C108" i="222"/>
  <c r="N62" i="202"/>
  <c r="F108" i="225"/>
  <c r="E144" i="225"/>
  <c r="I105" i="225"/>
  <c r="M105" i="225"/>
  <c r="J150" i="225"/>
  <c r="L147" i="225"/>
  <c r="K150" i="225"/>
  <c r="O150" i="225"/>
  <c r="C108" i="225"/>
  <c r="C147" i="225"/>
  <c r="G108" i="225"/>
  <c r="G147" i="225"/>
  <c r="C177" i="225"/>
  <c r="C138" i="225"/>
  <c r="E147" i="225"/>
  <c r="D157" i="225"/>
  <c r="K125" i="225"/>
  <c r="C128" i="225"/>
  <c r="J105" i="225"/>
  <c r="N105" i="225"/>
  <c r="M108" i="225"/>
  <c r="L150" i="225"/>
  <c r="D155" i="225"/>
  <c r="D159" i="225"/>
  <c r="D126" i="225"/>
  <c r="M126" i="225"/>
  <c r="C120" i="225"/>
  <c r="C135" i="225"/>
  <c r="F153" i="225"/>
  <c r="D163" i="225"/>
  <c r="N165" i="225"/>
  <c r="D170" i="225"/>
  <c r="B113" i="225"/>
  <c r="D124" i="225"/>
  <c r="J126" i="225"/>
  <c r="F105" i="218"/>
  <c r="F183" i="218"/>
  <c r="F144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D183" i="218"/>
  <c r="B186" i="218"/>
  <c r="N189" i="218"/>
  <c r="D194" i="218"/>
  <c r="O203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G127" i="217"/>
  <c r="M111" i="218"/>
  <c r="D126" i="218"/>
  <c r="I126" i="218"/>
  <c r="D170" i="218"/>
  <c r="K183" i="218"/>
  <c r="J189" i="218"/>
  <c r="F191" i="218"/>
  <c r="E183" i="219"/>
  <c r="E144" i="219"/>
  <c r="E105" i="219"/>
  <c r="M150" i="219"/>
  <c r="C135" i="219"/>
  <c r="G105" i="217"/>
  <c r="E108" i="217"/>
  <c r="K111" i="217"/>
  <c r="O111" i="217"/>
  <c r="G114" i="217"/>
  <c r="D122" i="217"/>
  <c r="D127" i="217"/>
  <c r="G144" i="217"/>
  <c r="J147" i="217"/>
  <c r="M150" i="217"/>
  <c r="C163" i="217"/>
  <c r="O164" i="217"/>
  <c r="C173" i="217"/>
  <c r="I183" i="218"/>
  <c r="M183" i="218"/>
  <c r="K189" i="218"/>
  <c r="K111" i="218"/>
  <c r="O189" i="218"/>
  <c r="O111" i="218"/>
  <c r="C114" i="218"/>
  <c r="G114" i="218"/>
  <c r="D118" i="218"/>
  <c r="D122" i="218"/>
  <c r="B204" i="218"/>
  <c r="C177" i="218"/>
  <c r="N111" i="218"/>
  <c r="E113" i="218"/>
  <c r="O125" i="218"/>
  <c r="L203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C105" i="220"/>
  <c r="C195" i="220"/>
  <c r="C135" i="220"/>
  <c r="C172" i="220"/>
  <c r="H183" i="219"/>
  <c r="L144" i="219"/>
  <c r="D167" i="219"/>
  <c r="E147" i="220"/>
  <c r="E108" i="220"/>
  <c r="D208" i="220"/>
  <c r="J111" i="219"/>
  <c r="N111" i="219"/>
  <c r="B113" i="219"/>
  <c r="D115" i="219"/>
  <c r="D125" i="219"/>
  <c r="D136" i="219"/>
  <c r="O186" i="219"/>
  <c r="J189" i="219"/>
  <c r="N189" i="219"/>
  <c r="D193" i="219"/>
  <c r="D201" i="219"/>
  <c r="L203" i="219"/>
  <c r="J204" i="219"/>
  <c r="D212" i="219"/>
  <c r="H144" i="220"/>
  <c r="H105" i="220"/>
  <c r="L144" i="220"/>
  <c r="L105" i="220"/>
  <c r="K147" i="220"/>
  <c r="K108" i="220"/>
  <c r="O147" i="220"/>
  <c r="O108" i="220"/>
  <c r="J150" i="220"/>
  <c r="B152" i="220"/>
  <c r="D162" i="220"/>
  <c r="J165" i="220"/>
  <c r="D125" i="220"/>
  <c r="K150" i="220"/>
  <c r="D160" i="220"/>
  <c r="B165" i="220"/>
  <c r="F192" i="220"/>
  <c r="M203" i="220"/>
  <c r="L150" i="222"/>
  <c r="D119" i="219"/>
  <c r="M125" i="219"/>
  <c r="B126" i="219"/>
  <c r="D197" i="219"/>
  <c r="M203" i="219"/>
  <c r="B204" i="219"/>
  <c r="O204" i="219"/>
  <c r="N111" i="220"/>
  <c r="D115" i="220"/>
  <c r="J126" i="220"/>
  <c r="O126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6" i="219"/>
  <c r="D164" i="219"/>
  <c r="J165" i="219"/>
  <c r="D173" i="219"/>
  <c r="N183" i="219"/>
  <c r="L189" i="219"/>
  <c r="L204" i="219"/>
  <c r="L189" i="220"/>
  <c r="L111" i="220"/>
  <c r="C116" i="220"/>
  <c r="C129" i="220"/>
  <c r="C208" i="220"/>
  <c r="J111" i="220"/>
  <c r="O111" i="220"/>
  <c r="F113" i="220"/>
  <c r="C119" i="220"/>
  <c r="D123" i="220"/>
  <c r="O165" i="220"/>
  <c r="L183" i="220"/>
  <c r="O186" i="220"/>
  <c r="J189" i="220"/>
  <c r="O189" i="220"/>
  <c r="F191" i="220"/>
  <c r="C197" i="220"/>
  <c r="C199" i="220"/>
  <c r="D201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E152" i="222"/>
  <c r="C164" i="222"/>
  <c r="I165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L105" i="223"/>
  <c r="B108" i="223"/>
  <c r="C126" i="223"/>
  <c r="L150" i="223"/>
  <c r="L144" i="223"/>
  <c r="C165" i="223"/>
  <c r="F144" i="223"/>
  <c r="F105" i="223"/>
  <c r="F108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4" i="223"/>
  <c r="D154" i="223"/>
  <c r="D156" i="223"/>
  <c r="D163" i="223"/>
  <c r="G166" i="223"/>
  <c r="D172" i="223"/>
  <c r="D176" i="223"/>
  <c r="J111" i="223"/>
  <c r="N111" i="223"/>
  <c r="F114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N147" i="224"/>
  <c r="J147" i="224"/>
  <c r="E147" i="224"/>
  <c r="E108" i="224"/>
  <c r="M150" i="224"/>
  <c r="E113" i="224"/>
  <c r="M164" i="224"/>
  <c r="E166" i="224"/>
  <c r="E127" i="224"/>
  <c r="C105" i="224"/>
  <c r="K105" i="224"/>
  <c r="C169" i="224"/>
  <c r="C171" i="224"/>
  <c r="C173" i="224"/>
  <c r="C136" i="224"/>
  <c r="G105" i="224"/>
  <c r="G144" i="224"/>
  <c r="D117" i="224"/>
  <c r="C119" i="224"/>
  <c r="D169" i="224"/>
  <c r="H105" i="224"/>
  <c r="H144" i="224"/>
  <c r="K147" i="224"/>
  <c r="K164" i="224"/>
  <c r="O164" i="224"/>
  <c r="G113" i="224"/>
  <c r="D119" i="224"/>
  <c r="K125" i="224"/>
  <c r="C152" i="224"/>
  <c r="F144" i="224"/>
  <c r="N105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L165" i="212"/>
  <c r="F144" i="213"/>
  <c r="F10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N164" i="213"/>
  <c r="E114" i="214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D168" i="212"/>
  <c r="D129" i="212"/>
  <c r="C131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08" i="213"/>
  <c r="G108" i="213"/>
  <c r="M111" i="213"/>
  <c r="D126" i="213"/>
  <c r="M126" i="213"/>
  <c r="B127" i="213"/>
  <c r="C133" i="213"/>
  <c r="C147" i="213"/>
  <c r="G147" i="213"/>
  <c r="K150" i="213"/>
  <c r="O150" i="213"/>
  <c r="C153" i="213"/>
  <c r="M150" i="214"/>
  <c r="M111" i="214"/>
  <c r="C124" i="214"/>
  <c r="J111" i="213"/>
  <c r="N111" i="213"/>
  <c r="B113" i="213"/>
  <c r="F113" i="213"/>
  <c r="B114" i="213"/>
  <c r="F114" i="213"/>
  <c r="C122" i="213"/>
  <c r="D124" i="213"/>
  <c r="D135" i="213"/>
  <c r="D137" i="213"/>
  <c r="D147" i="215"/>
  <c r="M108" i="215"/>
  <c r="C105" i="213"/>
  <c r="G105" i="213"/>
  <c r="E108" i="213"/>
  <c r="K111" i="213"/>
  <c r="O111" i="213"/>
  <c r="G114" i="213"/>
  <c r="C144" i="213"/>
  <c r="E147" i="213"/>
  <c r="M150" i="213"/>
  <c r="C163" i="213"/>
  <c r="C176" i="213"/>
  <c r="G144" i="214"/>
  <c r="G105" i="214"/>
  <c r="C156" i="214"/>
  <c r="C163" i="214"/>
  <c r="D165" i="214"/>
  <c r="D167" i="214"/>
  <c r="F166" i="214"/>
  <c r="J105" i="214"/>
  <c r="N105" i="214"/>
  <c r="M108" i="214"/>
  <c r="J111" i="214"/>
  <c r="N111" i="214"/>
  <c r="B114" i="214"/>
  <c r="F114" i="214"/>
  <c r="D117" i="214"/>
  <c r="C118" i="214"/>
  <c r="C121" i="214"/>
  <c r="D125" i="214"/>
  <c r="L125" i="214"/>
  <c r="D132" i="214"/>
  <c r="D136" i="214"/>
  <c r="J144" i="214"/>
  <c r="N144" i="214"/>
  <c r="M147" i="214"/>
  <c r="D152" i="214"/>
  <c r="K111" i="214"/>
  <c r="O111" i="214"/>
  <c r="C113" i="214"/>
  <c r="D119" i="214"/>
  <c r="C120" i="214"/>
  <c r="D121" i="214"/>
  <c r="K126" i="214"/>
  <c r="D160" i="214"/>
  <c r="C155" i="214"/>
  <c r="J164" i="214"/>
  <c r="N164" i="214"/>
  <c r="L165" i="214"/>
  <c r="C168" i="214"/>
  <c r="D105" i="214"/>
  <c r="F108" i="214"/>
  <c r="L111" i="214"/>
  <c r="D113" i="214"/>
  <c r="C116" i="214"/>
  <c r="J125" i="214"/>
  <c r="N125" i="214"/>
  <c r="C126" i="214"/>
  <c r="L126" i="214"/>
  <c r="C129" i="214"/>
  <c r="B147" i="214"/>
  <c r="K147" i="214"/>
  <c r="J150" i="214"/>
  <c r="B153" i="214"/>
  <c r="F153" i="214"/>
  <c r="D154" i="214"/>
  <c r="C157" i="214"/>
  <c r="D164" i="214"/>
  <c r="J164" i="215"/>
  <c r="N164" i="215"/>
  <c r="L150" i="215"/>
  <c r="D159" i="215"/>
  <c r="E127" i="215"/>
  <c r="C129" i="215"/>
  <c r="C116" i="215"/>
  <c r="F144" i="215"/>
  <c r="F105" i="215"/>
  <c r="J105" i="215"/>
  <c r="N105" i="215"/>
  <c r="E166" i="215"/>
  <c r="C126" i="215"/>
  <c r="E105" i="215"/>
  <c r="I105" i="215"/>
  <c r="C108" i="215"/>
  <c r="M111" i="215"/>
  <c r="E113" i="215"/>
  <c r="D116" i="215"/>
  <c r="K125" i="215"/>
  <c r="O125" i="215"/>
  <c r="I126" i="215"/>
  <c r="M126" i="215"/>
  <c r="B127" i="215"/>
  <c r="D130" i="215"/>
  <c r="C133" i="215"/>
  <c r="C137" i="215"/>
  <c r="C147" i="215"/>
  <c r="K150" i="215"/>
  <c r="O150" i="215"/>
  <c r="C153" i="215"/>
  <c r="D157" i="215"/>
  <c r="D161" i="215"/>
  <c r="O165" i="215"/>
  <c r="J147" i="216"/>
  <c r="N147" i="216"/>
  <c r="M150" i="216"/>
  <c r="D123" i="216"/>
  <c r="J111" i="215"/>
  <c r="N111" i="215"/>
  <c r="F114" i="215"/>
  <c r="D117" i="215"/>
  <c r="C118" i="215"/>
  <c r="D124" i="215"/>
  <c r="C127" i="215"/>
  <c r="D131" i="215"/>
  <c r="D133" i="215"/>
  <c r="D136" i="215"/>
  <c r="E147" i="216"/>
  <c r="E108" i="216"/>
  <c r="F114" i="216"/>
  <c r="C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K144" i="215"/>
  <c r="O144" i="215"/>
  <c r="J147" i="215"/>
  <c r="N147" i="215"/>
  <c r="E152" i="215"/>
  <c r="E153" i="215"/>
  <c r="D155" i="215"/>
  <c r="I165" i="215"/>
  <c r="M165" i="215"/>
  <c r="D169" i="215"/>
  <c r="C172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D105" i="216"/>
  <c r="H144" i="216"/>
  <c r="H105" i="216"/>
  <c r="L144" i="216"/>
  <c r="L105" i="216"/>
  <c r="C118" i="216"/>
  <c r="D163" i="216"/>
  <c r="J125" i="216"/>
  <c r="N164" i="216"/>
  <c r="D165" i="216"/>
  <c r="I165" i="216"/>
  <c r="M165" i="216"/>
  <c r="F166" i="216"/>
  <c r="D170" i="216"/>
  <c r="D131" i="216"/>
  <c r="D172" i="216"/>
  <c r="D133" i="216"/>
  <c r="D174" i="216"/>
  <c r="D135" i="216"/>
  <c r="D176" i="216"/>
  <c r="D137" i="216"/>
  <c r="D129" i="216"/>
  <c r="L150" i="216"/>
  <c r="E152" i="216"/>
  <c r="D155" i="216"/>
  <c r="D159" i="216"/>
  <c r="D120" i="216"/>
  <c r="C161" i="216"/>
  <c r="K164" i="216"/>
  <c r="O164" i="216"/>
  <c r="M126" i="216"/>
  <c r="G166" i="216"/>
  <c r="C170" i="216"/>
  <c r="C174" i="216"/>
  <c r="G113" i="216"/>
  <c r="C114" i="216"/>
  <c r="G114" i="216"/>
  <c r="D118" i="216"/>
  <c r="D119" i="216"/>
  <c r="D122" i="216"/>
  <c r="O150" i="216"/>
  <c r="C153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K165" i="210"/>
  <c r="D166" i="210"/>
  <c r="J111" i="210"/>
  <c r="N111" i="210"/>
  <c r="B113" i="210"/>
  <c r="B114" i="210"/>
  <c r="F114" i="210"/>
  <c r="C119" i="210"/>
  <c r="C121" i="210"/>
  <c r="L125" i="210"/>
  <c r="N126" i="210"/>
  <c r="F144" i="210"/>
  <c r="J144" i="210"/>
  <c r="N144" i="210"/>
  <c r="L150" i="210"/>
  <c r="N165" i="210"/>
  <c r="H105" i="211"/>
  <c r="L144" i="211"/>
  <c r="L105" i="211"/>
  <c r="K150" i="211"/>
  <c r="O150" i="211"/>
  <c r="O111" i="211"/>
  <c r="C113" i="211"/>
  <c r="C159" i="211"/>
  <c r="C120" i="211"/>
  <c r="F108" i="211"/>
  <c r="E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05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N37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29" i="191"/>
  <c r="I29" i="191" s="1"/>
  <c r="L29" i="191" s="1"/>
  <c r="P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O33" i="191" s="1"/>
  <c r="F34" i="191"/>
  <c r="I34" i="191" s="1"/>
  <c r="L34" i="191" s="1"/>
  <c r="F35" i="191"/>
  <c r="I35" i="191" s="1"/>
  <c r="L35" i="191" s="1"/>
  <c r="F36" i="191"/>
  <c r="I36" i="191" s="1"/>
  <c r="L36" i="191" s="1"/>
  <c r="F8" i="191"/>
  <c r="I8" i="191" s="1"/>
  <c r="E37" i="191"/>
  <c r="C6" i="191"/>
  <c r="E6" i="191"/>
  <c r="E5" i="191"/>
  <c r="B5" i="188" s="1"/>
  <c r="K37" i="191"/>
  <c r="H37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O62" i="203" l="1"/>
  <c r="A85" i="45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AU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D177" i="210" s="1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AU20" i="234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U19" i="234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O56" i="216"/>
  <c r="N56" i="224"/>
  <c r="B30" i="60"/>
  <c r="AT63" i="234"/>
  <c r="AU63" i="234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AU21" i="234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W38" i="234" s="1"/>
  <c r="AT38" i="234"/>
  <c r="AU38" i="234" s="1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U61" i="234" s="1"/>
  <c r="AT59" i="234"/>
  <c r="AU59" i="234" s="1"/>
  <c r="AT57" i="234"/>
  <c r="AU57" i="234" s="1"/>
  <c r="AT55" i="234"/>
  <c r="AU55" i="234" s="1"/>
  <c r="AT53" i="234"/>
  <c r="AU53" i="234" s="1"/>
  <c r="H64" i="2"/>
  <c r="AT60" i="234"/>
  <c r="AU60" i="234" s="1"/>
  <c r="AT58" i="234"/>
  <c r="AU58" i="234" s="1"/>
  <c r="AT56" i="234"/>
  <c r="AU56" i="234" s="1"/>
  <c r="AT54" i="234"/>
  <c r="AU54" i="234" s="1"/>
  <c r="AT52" i="234"/>
  <c r="AU52" i="234" s="1"/>
  <c r="H52" i="2"/>
  <c r="AT48" i="234"/>
  <c r="AU48" i="234" s="1"/>
  <c r="H50" i="2"/>
  <c r="AT46" i="234"/>
  <c r="AU46" i="234" s="1"/>
  <c r="H48" i="2"/>
  <c r="AT44" i="234"/>
  <c r="AU44" i="234" s="1"/>
  <c r="H46" i="2"/>
  <c r="AT42" i="234"/>
  <c r="AU42" i="234" s="1"/>
  <c r="H44" i="2"/>
  <c r="AT40" i="234"/>
  <c r="AU40" i="234" s="1"/>
  <c r="H53" i="2"/>
  <c r="AT49" i="234"/>
  <c r="AU49" i="234" s="1"/>
  <c r="AT47" i="234"/>
  <c r="AU47" i="234" s="1"/>
  <c r="H49" i="2"/>
  <c r="AT45" i="234"/>
  <c r="AU45" i="234" s="1"/>
  <c r="AT43" i="234"/>
  <c r="AU43" i="234" s="1"/>
  <c r="AT41" i="234"/>
  <c r="AU41" i="234" s="1"/>
  <c r="H43" i="2"/>
  <c r="AT39" i="234"/>
  <c r="AU39" i="234" s="1"/>
  <c r="F37" i="192"/>
  <c r="F32" i="2" s="1"/>
  <c r="F28" i="234"/>
  <c r="AM28" i="234" s="1"/>
  <c r="E37" i="192"/>
  <c r="E32" i="2" s="1"/>
  <c r="E28" i="234"/>
  <c r="AL28" i="234" s="1"/>
  <c r="AT30" i="234"/>
  <c r="AU30" i="234" s="1"/>
  <c r="AT27" i="234"/>
  <c r="AU27" i="234" s="1"/>
  <c r="AX25" i="234"/>
  <c r="AY25" i="234" s="1"/>
  <c r="AT25" i="234"/>
  <c r="AU25" i="234" s="1"/>
  <c r="H30" i="2"/>
  <c r="AT26" i="234"/>
  <c r="AU26" i="234" s="1"/>
  <c r="AT18" i="234"/>
  <c r="AU18" i="234" s="1"/>
  <c r="AT16" i="234"/>
  <c r="AU16" i="234" s="1"/>
  <c r="H12" i="2"/>
  <c r="AT14" i="234"/>
  <c r="AU14" i="234" s="1"/>
  <c r="H10" i="2"/>
  <c r="AT12" i="234"/>
  <c r="AU12" i="234" s="1"/>
  <c r="AT17" i="234"/>
  <c r="AU17" i="234" s="1"/>
  <c r="AT15" i="234"/>
  <c r="AU15" i="234" s="1"/>
  <c r="AT13" i="234"/>
  <c r="AU13" i="234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9" i="202" s="1"/>
  <c r="N56" i="210"/>
  <c r="O56" i="212"/>
  <c r="O59" i="212" s="1"/>
  <c r="N56" i="220"/>
  <c r="O56" i="225"/>
  <c r="N62" i="209"/>
  <c r="N62" i="208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33" i="191"/>
  <c r="O2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AU34" i="234" s="1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AU33" i="234" s="1"/>
  <c r="E33" i="223"/>
  <c r="E102" i="200"/>
  <c r="I15" i="113" s="1"/>
  <c r="G66" i="2"/>
  <c r="AT37" i="234"/>
  <c r="AU37" i="234" s="1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31" i="191"/>
  <c r="O31" i="191"/>
  <c r="P10" i="191"/>
  <c r="O10" i="191"/>
  <c r="A166" i="224"/>
  <c r="A127" i="224"/>
  <c r="P30" i="191"/>
  <c r="O3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36" i="191"/>
  <c r="P36" i="191"/>
  <c r="P34" i="191"/>
  <c r="O3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32" i="191"/>
  <c r="P3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F37" i="191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35" i="191"/>
  <c r="P3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P28" i="234"/>
  <c r="AP50" i="234"/>
  <c r="AP36" i="234"/>
  <c r="AN10" i="234"/>
  <c r="AN28" i="234"/>
  <c r="AO10" i="234"/>
  <c r="AO23" i="234"/>
  <c r="AO28" i="234"/>
  <c r="AO32" i="234"/>
  <c r="AO50" i="234"/>
  <c r="AP32" i="234"/>
  <c r="AP10" i="234"/>
  <c r="AN50" i="234"/>
  <c r="AP23" i="234"/>
  <c r="AN36" i="234"/>
  <c r="AN32" i="234"/>
  <c r="AN23" i="234"/>
  <c r="AO36" i="234"/>
  <c r="O59" i="215" l="1"/>
  <c r="AV9" i="234"/>
  <c r="AW9" i="234" s="1"/>
  <c r="M59" i="225"/>
  <c r="M59" i="213"/>
  <c r="N59" i="215"/>
  <c r="N59" i="205"/>
  <c r="O59" i="204"/>
  <c r="B120" i="212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O10" i="192"/>
  <c r="AT10" i="234" s="1"/>
  <c r="AG23" i="192"/>
  <c r="AG22" i="192" s="1"/>
  <c r="X22" i="192"/>
  <c r="AG42" i="192"/>
  <c r="AG41" i="192" s="1"/>
  <c r="X41" i="192"/>
  <c r="AG60" i="192"/>
  <c r="AG59" i="192" s="1"/>
  <c r="X59" i="192"/>
  <c r="AT9" i="234"/>
  <c r="AU9" i="234" s="1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W25" i="234" s="1"/>
  <c r="M16" i="225"/>
  <c r="M70" i="225" s="1"/>
  <c r="E70" i="225"/>
  <c r="AV20" i="234"/>
  <c r="AW20" i="234" s="1"/>
  <c r="O59" i="225"/>
  <c r="G100" i="210"/>
  <c r="G45" i="210"/>
  <c r="AT35" i="234"/>
  <c r="AU35" i="234" s="1"/>
  <c r="AT62" i="234"/>
  <c r="AU62" i="234" s="1"/>
  <c r="H55" i="2"/>
  <c r="AT51" i="234"/>
  <c r="AU51" i="234" s="1"/>
  <c r="AX21" i="234"/>
  <c r="AY21" i="234" s="1"/>
  <c r="AV21" i="234"/>
  <c r="AW21" i="234" s="1"/>
  <c r="AX63" i="234"/>
  <c r="AY63" i="234" s="1"/>
  <c r="AV63" i="234"/>
  <c r="AW63" i="234" s="1"/>
  <c r="AX19" i="234"/>
  <c r="AY19" i="234" s="1"/>
  <c r="AV19" i="234"/>
  <c r="AW19" i="234" s="1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Y52" i="234" s="1"/>
  <c r="AV52" i="234"/>
  <c r="AW52" i="234" s="1"/>
  <c r="AX54" i="234"/>
  <c r="AY54" i="234" s="1"/>
  <c r="AV54" i="234"/>
  <c r="AW54" i="234" s="1"/>
  <c r="AX56" i="234"/>
  <c r="AY56" i="234" s="1"/>
  <c r="AV56" i="234"/>
  <c r="AW56" i="234" s="1"/>
  <c r="AX58" i="234"/>
  <c r="AY58" i="234" s="1"/>
  <c r="AV58" i="234"/>
  <c r="AW58" i="234" s="1"/>
  <c r="AV60" i="234"/>
  <c r="AW60" i="234" s="1"/>
  <c r="AX53" i="234"/>
  <c r="AY53" i="234" s="1"/>
  <c r="AV53" i="234"/>
  <c r="AW53" i="234" s="1"/>
  <c r="AX55" i="234"/>
  <c r="AY55" i="234" s="1"/>
  <c r="AV55" i="234"/>
  <c r="AW55" i="234" s="1"/>
  <c r="AX57" i="234"/>
  <c r="AY57" i="234" s="1"/>
  <c r="AV57" i="234"/>
  <c r="AW57" i="234" s="1"/>
  <c r="AX59" i="234"/>
  <c r="AY59" i="234" s="1"/>
  <c r="AV59" i="234"/>
  <c r="AW59" i="234" s="1"/>
  <c r="AX61" i="234"/>
  <c r="AY61" i="234" s="1"/>
  <c r="AV61" i="234"/>
  <c r="AW61" i="234" s="1"/>
  <c r="AV39" i="234"/>
  <c r="AW39" i="234" s="1"/>
  <c r="AV41" i="234"/>
  <c r="AW41" i="234" s="1"/>
  <c r="AV43" i="234"/>
  <c r="AW43" i="234" s="1"/>
  <c r="AV45" i="234"/>
  <c r="AW45" i="234" s="1"/>
  <c r="AV47" i="234"/>
  <c r="AW47" i="234" s="1"/>
  <c r="AV49" i="234"/>
  <c r="AW49" i="234" s="1"/>
  <c r="AV40" i="234"/>
  <c r="AW40" i="234" s="1"/>
  <c r="AV42" i="234"/>
  <c r="AW42" i="234" s="1"/>
  <c r="AV44" i="234"/>
  <c r="AW44" i="234" s="1"/>
  <c r="AV46" i="234"/>
  <c r="AW46" i="234" s="1"/>
  <c r="AV48" i="234"/>
  <c r="AW48" i="234" s="1"/>
  <c r="AT31" i="234"/>
  <c r="AU31" i="234" s="1"/>
  <c r="AT29" i="234"/>
  <c r="AU29" i="234" s="1"/>
  <c r="AX30" i="234"/>
  <c r="AY30" i="234" s="1"/>
  <c r="AV30" i="234"/>
  <c r="AW30" i="234" s="1"/>
  <c r="AV26" i="234"/>
  <c r="AW26" i="234" s="1"/>
  <c r="AX27" i="234"/>
  <c r="AY27" i="234" s="1"/>
  <c r="AV27" i="234"/>
  <c r="AW27" i="234" s="1"/>
  <c r="AV11" i="234"/>
  <c r="AW11" i="234" s="1"/>
  <c r="AX13" i="234"/>
  <c r="AY13" i="234" s="1"/>
  <c r="AV13" i="234"/>
  <c r="AW13" i="234" s="1"/>
  <c r="AX15" i="234"/>
  <c r="AY15" i="234" s="1"/>
  <c r="AV15" i="234"/>
  <c r="AW15" i="234" s="1"/>
  <c r="AX17" i="234"/>
  <c r="AY17" i="234" s="1"/>
  <c r="AV17" i="234"/>
  <c r="AW17" i="234" s="1"/>
  <c r="AV12" i="234"/>
  <c r="AW12" i="234" s="1"/>
  <c r="AV14" i="234"/>
  <c r="AW14" i="234" s="1"/>
  <c r="AV16" i="234"/>
  <c r="AW16" i="234" s="1"/>
  <c r="AV18" i="234"/>
  <c r="AW18" i="234" s="1"/>
  <c r="B105" i="209"/>
  <c r="AT24" i="234"/>
  <c r="AU24" i="23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AY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AW34" i="234" s="1"/>
  <c r="G38" i="2"/>
  <c r="AT50" i="234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AW37" i="234" s="1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H20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3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3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AS36" i="234"/>
  <c r="AZ32" i="234"/>
  <c r="AN22" i="234"/>
  <c r="BB10" i="234"/>
  <c r="AZ28" i="234"/>
  <c r="AQ50" i="234"/>
  <c r="BA28" i="234"/>
  <c r="AQ23" i="234"/>
  <c r="AP22" i="234"/>
  <c r="BB32" i="234"/>
  <c r="AS28" i="234"/>
  <c r="AR50" i="234"/>
  <c r="BB28" i="234"/>
  <c r="AR28" i="234"/>
  <c r="AZ23" i="234"/>
  <c r="BA23" i="234"/>
  <c r="AP8" i="234"/>
  <c r="AS10" i="234"/>
  <c r="BB36" i="234"/>
  <c r="AQ28" i="234"/>
  <c r="AQ32" i="234"/>
  <c r="AQ10" i="234"/>
  <c r="BB23" i="234"/>
  <c r="AO22" i="234"/>
  <c r="AZ10" i="234"/>
  <c r="AS23" i="234"/>
  <c r="AQ36" i="234"/>
  <c r="AS50" i="234"/>
  <c r="AZ36" i="234"/>
  <c r="BB50" i="234"/>
  <c r="AO8" i="234"/>
  <c r="AS32" i="234"/>
  <c r="AR36" i="234"/>
  <c r="AR10" i="234"/>
  <c r="AZ50" i="234"/>
  <c r="AR32" i="234"/>
  <c r="BA36" i="234"/>
  <c r="BA32" i="234"/>
  <c r="AR23" i="234"/>
  <c r="BA10" i="234"/>
  <c r="BA50" i="234"/>
  <c r="B144" i="224" l="1"/>
  <c r="B105" i="201"/>
  <c r="N60" i="219"/>
  <c r="D45" i="212"/>
  <c r="N60" i="212"/>
  <c r="B183" i="205"/>
  <c r="N60" i="218"/>
  <c r="N60" i="203"/>
  <c r="L60" i="203" s="1"/>
  <c r="N60" i="213"/>
  <c r="M60" i="216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L60" i="205" s="1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Y51" i="234" s="1"/>
  <c r="AV51" i="234"/>
  <c r="AW51" i="234" s="1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X33" i="234"/>
  <c r="AY33" i="234" s="1"/>
  <c r="AV33" i="234"/>
  <c r="AW33" i="234" s="1"/>
  <c r="AX20" i="234"/>
  <c r="AY20" i="234" s="1"/>
  <c r="I18" i="2"/>
  <c r="N199" i="198"/>
  <c r="N205" i="198" s="1"/>
  <c r="U9" i="123"/>
  <c r="N9" i="123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V29" i="234"/>
  <c r="AW29" i="234" s="1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X24" i="234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3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AY37" i="234" s="1"/>
  <c r="H41" i="2"/>
  <c r="F148" i="217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48" i="215"/>
  <c r="I177" i="215" s="1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BB8" i="234"/>
  <c r="AZ22" i="234"/>
  <c r="BA8" i="234"/>
  <c r="AP7" i="234"/>
  <c r="BB22" i="234"/>
  <c r="BA22" i="234"/>
  <c r="AR22" i="234"/>
  <c r="AQ22" i="234"/>
  <c r="AO7" i="234"/>
  <c r="AQ8" i="234"/>
  <c r="AS8" i="234"/>
  <c r="AN7" i="234"/>
  <c r="AZ8" i="234"/>
  <c r="AS22" i="234"/>
  <c r="AR8" i="234"/>
  <c r="L60" i="213" l="1"/>
  <c r="L60" i="218"/>
  <c r="N51" i="223"/>
  <c r="I99" i="215"/>
  <c r="N148" i="198"/>
  <c r="I177" i="198" s="1"/>
  <c r="AG10" i="192"/>
  <c r="AX11" i="234"/>
  <c r="AY11" i="234" s="1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09" i="212"/>
  <c r="I140" i="212" s="1"/>
  <c r="O51" i="212"/>
  <c r="B18" i="222"/>
  <c r="M25" i="222"/>
  <c r="I39" i="183"/>
  <c r="G31" i="126"/>
  <c r="M18" i="183"/>
  <c r="H15" i="126"/>
  <c r="G148" i="220"/>
  <c r="G187" i="220"/>
  <c r="G109" i="220"/>
  <c r="G148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AX10" i="234"/>
  <c r="AY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BA7" i="234"/>
  <c r="AR7" i="234"/>
  <c r="AQ7" i="234"/>
  <c r="BB7" i="234"/>
  <c r="AZ7" i="234"/>
  <c r="AS7" i="234"/>
  <c r="O51" i="206" l="1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D12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G35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C490" i="45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D24" i="135"/>
  <c r="D9" i="135"/>
  <c r="C5" i="13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AV7" i="234" l="1"/>
  <c r="AW7" i="234" s="1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D6" i="135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C12" i="131"/>
  <c r="C13" i="131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K43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AY7" i="234" s="1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</calcChain>
</file>

<file path=xl/comments1.xml><?xml version="1.0" encoding="utf-8"?>
<comments xmlns="http://schemas.openxmlformats.org/spreadsheetml/2006/main">
  <authors>
    <author>User</author>
  </authors>
  <commentList>
    <comment ref="A1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ERALD G DHE ZENULLA MEHMETI kontrate e perbashket per mbikqyrjen e rruges se dovolanit dhe
suoervizim kanalesh vadites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A4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</t>
        </r>
      </text>
    </comment>
    <comment ref="B42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Kontrata baze 45.165.088
kontrata shtese 9.033.018
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CEC GROUP</t>
        </r>
      </text>
    </comment>
    <comment ref="B4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per  3,948,000 leke
448,000 leke
 </t>
        </r>
      </text>
    </comment>
    <comment ref="A4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SELAMI SHPK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Kontrate shtese 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Vlera e kontrates 1,140,000 leke
</t>
        </r>
      </text>
    </comment>
    <comment ref="A5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UNITEC STUDIO
Lamce BEGAJ</t>
        </r>
      </text>
    </comment>
    <comment ref="A5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UNITEC STUDIO</t>
        </r>
      </text>
    </comment>
    <comment ref="A6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UNITEC STUDIO
LAMCE BEGAJ</t>
        </r>
      </text>
    </comment>
    <comment ref="A6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REAN 95</t>
        </r>
      </text>
    </comment>
    <comment ref="A6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Dricons</t>
        </r>
      </text>
    </comment>
    <comment ref="A65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Rean 95 me kontrate nr. 52/6 date 24.09.2019 me vlere 319.994</t>
        </r>
      </text>
    </comment>
    <comment ref="A67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Unitec Studio , Lamce Begaj</t>
        </r>
      </text>
    </comment>
    <comment ref="A68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Zenulla Mehmeti</t>
        </r>
      </text>
    </comment>
    <comment ref="A69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ELBA SHPK</t>
        </r>
      </text>
    </comment>
    <comment ref="A70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XH &amp; MILER
me vlere kontrate 223,032 leke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Alko Impex 
kanalet vaditese 2020
vlera e kontrates 8,461,106 
likujduar 4,051,378 per vitin 2020
mbeten per likujdim 4,409,728
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AJET BRAHO
vlere kontrate 155,157 leke
</t>
        </r>
      </text>
    </comment>
    <comment ref="A7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Erald-G shpk
vlere kontrate 272,006 leke</t>
        </r>
      </text>
    </comment>
    <comment ref="A74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6 D Plan shpke
Vlere kontrate 125,196 leke</t>
        </r>
      </text>
    </comment>
    <comment ref="A8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6 D Plan shpke
Vlere kontrate 125,196 leke</t>
        </r>
      </text>
    </comment>
    <comment ref="A88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6 D Plan shpke
Vlere kontrate 125,196 leke</t>
        </r>
      </text>
    </comment>
  </commentList>
</comments>
</file>

<file path=xl/comments2.xml><?xml version="1.0" encoding="utf-8"?>
<comments xmlns="http://schemas.openxmlformats.org/spreadsheetml/2006/main">
  <authors>
    <author>Planet</author>
  </authors>
  <commentList>
    <comment ref="E251" author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<sst xmlns="http://schemas.openxmlformats.org/spreadsheetml/2006/main" count="2395" uniqueCount="2054">
  <si>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</si>
  <si>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</si>
  <si>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</si>
  <si>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</si>
  <si>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</si>
  <si>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</si>
  <si>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</si>
  <si>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</si>
  <si>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</si>
  <si>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</si>
  <si>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</si>
  <si>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</si>
  <si>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</si>
  <si>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</si>
  <si>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</si>
  <si>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</si>
  <si>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</si>
  <si>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</si>
  <si>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</si>
  <si>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</si>
  <si>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</si>
  <si>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</si>
  <si>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</si>
  <si>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</si>
  <si>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</si>
  <si>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</si>
  <si>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</si>
  <si>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</si>
  <si>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</si>
  <si>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</si>
  <si>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</si>
  <si>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</si>
  <si>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</si>
  <si>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</si>
  <si>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</si>
  <si>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</si>
  <si>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</si>
  <si>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</si>
  <si>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</si>
  <si>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</si>
  <si>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</si>
  <si>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</si>
  <si>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</si>
  <si>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</si>
  <si>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</si>
  <si>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</si>
  <si>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</si>
  <si>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</si>
  <si>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</si>
  <si>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</si>
  <si>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</si>
  <si>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</si>
  <si>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</si>
  <si>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</si>
  <si>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</si>
  <si>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</si>
  <si>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</si>
  <si>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</si>
  <si>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</si>
  <si>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</si>
  <si>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</si>
  <si>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</si>
  <si>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</si>
  <si>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</si>
  <si>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</si>
  <si>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</si>
  <si>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</si>
  <si>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</si>
  <si>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</si>
  <si>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</si>
  <si>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</si>
  <si>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</si>
  <si>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</si>
  <si>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</si>
  <si>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</si>
  <si>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</si>
  <si>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</si>
  <si>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</si>
  <si>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</si>
  <si>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</si>
  <si>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</si>
  <si>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</si>
  <si>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</si>
  <si>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</si>
  <si>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</si>
  <si>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</si>
  <si>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</si>
  <si>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</si>
  <si>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</si>
  <si>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</si>
  <si>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</si>
  <si>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</si>
  <si>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</si>
  <si>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</si>
  <si>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</si>
  <si>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</si>
  <si>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</si>
  <si>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</si>
  <si>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</si>
  <si>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</si>
  <si>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</si>
  <si>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</si>
  <si>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</si>
  <si>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</si>
  <si>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</si>
  <si>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</si>
  <si>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</si>
  <si>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</si>
  <si>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</si>
  <si>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</si>
  <si>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</si>
  <si>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</si>
  <si>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</si>
  <si>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</si>
  <si>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</si>
  <si>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</si>
  <si>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</si>
  <si>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</si>
  <si>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</si>
  <si>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</si>
  <si>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</si>
  <si>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</si>
  <si>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</si>
  <si>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</si>
  <si>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</si>
  <si>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</si>
  <si>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</si>
  <si>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</si>
  <si>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</si>
  <si>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</si>
  <si>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</si>
  <si>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</si>
  <si>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</si>
  <si>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</si>
  <si>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</si>
  <si>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</si>
  <si>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</si>
  <si>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</si>
  <si>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</si>
  <si>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</si>
  <si>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</si>
  <si>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</si>
  <si>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</si>
  <si>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</si>
  <si>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</si>
  <si>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</si>
  <si>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</si>
  <si>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</si>
  <si>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</si>
  <si>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</si>
  <si>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</si>
  <si>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</si>
  <si>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</si>
  <si>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</si>
  <si>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</si>
  <si>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</si>
  <si>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</si>
  <si>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</si>
  <si>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</si>
  <si>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</si>
  <si>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</si>
  <si>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</si>
  <si>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</si>
  <si>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</si>
  <si>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</si>
  <si>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</si>
  <si>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</si>
  <si>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</si>
  <si>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</si>
  <si>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</si>
  <si>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</si>
  <si>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</si>
  <si>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</si>
  <si>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</si>
  <si>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</si>
  <si>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</si>
  <si>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</si>
  <si>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</si>
  <si>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</si>
  <si>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</si>
  <si>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</si>
  <si>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</si>
  <si>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</si>
  <si>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</si>
  <si>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</si>
  <si>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</si>
  <si>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</si>
  <si>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</si>
  <si>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</si>
  <si>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</si>
  <si>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</si>
  <si>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</si>
  <si>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</si>
  <si>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</si>
  <si>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</si>
  <si>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</si>
  <si>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</si>
  <si>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</si>
  <si>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</si>
  <si>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</si>
  <si>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</si>
  <si>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</si>
  <si>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</si>
  <si>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</si>
  <si>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</si>
  <si>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</si>
  <si>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</si>
  <si>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</si>
  <si>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</si>
  <si>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</si>
  <si>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</si>
  <si>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</si>
  <si>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</si>
  <si>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</si>
  <si>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</si>
  <si>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</si>
  <si>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</si>
  <si>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</si>
  <si>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</si>
  <si>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</si>
  <si>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</si>
  <si>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</si>
  <si>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</si>
  <si>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</si>
  <si>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</si>
  <si>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</si>
  <si>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</si>
  <si>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</si>
  <si>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</si>
  <si>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</si>
  <si>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</si>
  <si>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</si>
  <si>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</si>
  <si>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</si>
  <si>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</si>
  <si>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</si>
  <si>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</si>
  <si>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</si>
  <si>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</si>
  <si>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</si>
  <si>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</si>
  <si>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</si>
  <si>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</si>
  <si>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</si>
  <si>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</si>
  <si>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</si>
  <si>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</si>
  <si>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</si>
  <si>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</si>
  <si>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</si>
  <si>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</si>
  <si>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</si>
  <si>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</si>
  <si>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</si>
  <si>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</si>
  <si>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</si>
  <si>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</si>
  <si>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</si>
  <si>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</si>
  <si>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</si>
  <si>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</si>
  <si>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</si>
  <si>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</si>
  <si>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</si>
  <si>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</si>
  <si>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</si>
  <si>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</si>
  <si>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</si>
  <si>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</si>
  <si>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</si>
  <si>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</si>
  <si>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</si>
  <si>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</si>
  <si>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</si>
  <si>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</si>
  <si>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</si>
  <si>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</si>
  <si>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</si>
  <si>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</si>
  <si>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</si>
  <si>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</si>
  <si>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</si>
  <si>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</si>
  <si>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</si>
  <si>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</si>
  <si>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</si>
  <si>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</si>
  <si>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</si>
  <si>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</si>
  <si>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</si>
  <si>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</si>
  <si>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</si>
  <si>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</si>
  <si>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</si>
  <si>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</si>
  <si>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</si>
  <si>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</si>
  <si>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</si>
  <si>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</si>
  <si>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</si>
  <si>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</si>
  <si>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</si>
  <si>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</si>
  <si>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</si>
  <si>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</si>
  <si>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</si>
  <si>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</si>
  <si>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</si>
  <si>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</si>
  <si>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</si>
  <si>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</si>
  <si>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</si>
  <si>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</si>
  <si>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</si>
  <si>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</si>
  <si>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</si>
  <si>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</si>
  <si>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</si>
  <si>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</si>
  <si>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</si>
  <si>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</si>
  <si>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</si>
  <si>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</si>
  <si>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</si>
  <si>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</si>
  <si>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</si>
  <si>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</si>
  <si>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</si>
  <si>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</si>
  <si>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</si>
  <si>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</si>
  <si>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</si>
  <si>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</si>
  <si>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</si>
  <si>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</si>
  <si>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</si>
  <si>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</si>
  <si>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</si>
  <si>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</si>
  <si>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</si>
  <si>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</si>
  <si>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</si>
  <si>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</si>
  <si>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</si>
  <si>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</si>
  <si>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</si>
  <si>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</si>
  <si>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</si>
  <si>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</si>
  <si>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</si>
  <si>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</si>
  <si>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</si>
  <si>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</si>
  <si>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</si>
  <si>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</si>
  <si>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</si>
  <si>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</si>
  <si>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</si>
  <si>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</si>
  <si>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</si>
  <si>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</si>
  <si>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</si>
  <si>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</si>
  <si>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</si>
  <si>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</si>
  <si>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</si>
  <si>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</si>
  <si>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</si>
  <si>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</si>
  <si>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</si>
  <si>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</si>
  <si>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</si>
  <si>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</si>
  <si>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</si>
  <si>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</si>
  <si>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</si>
  <si>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</si>
  <si>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</si>
  <si>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</si>
  <si>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</si>
  <si>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</si>
  <si>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</si>
  <si>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</si>
  <si>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</si>
  <si>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</si>
  <si>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</si>
  <si>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</si>
  <si>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</si>
  <si>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</si>
  <si>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</si>
  <si>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</si>
  <si>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</si>
  <si>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</si>
  <si>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</si>
  <si>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</si>
  <si>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</si>
  <si>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</si>
  <si>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</si>
  <si>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</si>
  <si>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</si>
  <si>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</si>
  <si>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</si>
  <si>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</si>
  <si>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</si>
  <si>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</si>
  <si>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</si>
  <si>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</si>
  <si>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</si>
  <si>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</si>
  <si>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</si>
  <si>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</si>
  <si>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</si>
  <si>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</si>
  <si>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</si>
  <si>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</si>
  <si>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</si>
  <si>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</si>
  <si>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</si>
  <si>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</si>
  <si>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</si>
  <si>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</si>
  <si>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</si>
  <si>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</si>
  <si>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</si>
  <si>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</si>
  <si>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</si>
  <si>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</si>
  <si>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</si>
  <si>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</si>
  <si>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</si>
  <si>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</si>
  <si>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</si>
  <si>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</si>
  <si>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</si>
  <si>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</si>
  <si>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</si>
  <si>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</si>
  <si>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</si>
  <si>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</si>
  <si>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</si>
  <si>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</si>
  <si>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</si>
  <si>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</si>
  <si>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</si>
  <si>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</si>
  <si>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</si>
  <si>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</si>
  <si>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</si>
  <si>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</si>
  <si>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</si>
  <si>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</si>
  <si>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</si>
  <si>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</si>
  <si>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</si>
  <si>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</si>
  <si>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</si>
  <si>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</si>
  <si>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</si>
  <si>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</si>
  <si>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</si>
  <si>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</si>
  <si>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</si>
  <si>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</si>
  <si>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</si>
  <si>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</si>
  <si>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</si>
  <si>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</si>
  <si>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</si>
  <si>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</si>
  <si>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</si>
  <si>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</si>
  <si>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</si>
  <si>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</si>
  <si>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</si>
  <si>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</si>
  <si>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</si>
  <si>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</si>
  <si>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</si>
  <si>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</si>
  <si>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</si>
  <si>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</si>
  <si>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</si>
  <si>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</si>
  <si>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</si>
  <si>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</si>
  <si>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</si>
  <si>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</si>
  <si>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</si>
  <si>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</si>
  <si>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</si>
  <si>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</si>
  <si>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</si>
  <si>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</si>
  <si>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</si>
  <si>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</si>
  <si>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</si>
  <si>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</si>
  <si>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</si>
  <si>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</si>
  <si>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</si>
  <si>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</si>
  <si>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</si>
  <si>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</si>
  <si>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</si>
  <si>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</si>
  <si>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</si>
  <si>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</si>
  <si>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</si>
  <si>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</si>
  <si>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</si>
  <si>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</si>
  <si>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</si>
  <si>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</si>
  <si>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</si>
  <si>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</si>
  <si>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</si>
  <si>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</si>
  <si>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</si>
  <si>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</si>
  <si>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</si>
  <si>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</si>
  <si>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</si>
  <si>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</si>
  <si>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</si>
  <si>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</si>
  <si>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</si>
  <si>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</si>
  <si>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</si>
  <si>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</si>
  <si>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</si>
  <si>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</si>
  <si>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</si>
  <si>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</si>
  <si>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</si>
  <si>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</si>
  <si>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</si>
  <si>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</si>
  <si>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</si>
  <si>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</si>
  <si>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</si>
  <si>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</si>
  <si>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</si>
  <si>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</si>
  <si>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</si>
  <si>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</si>
  <si>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</si>
  <si>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</si>
  <si>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</si>
  <si>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</si>
  <si>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</si>
  <si>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</si>
  <si>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</si>
  <si>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</si>
  <si>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</si>
  <si>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</si>
  <si>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</si>
  <si>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</si>
  <si>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</si>
  <si>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</si>
  <si>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</si>
  <si>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</si>
  <si>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</si>
  <si>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</si>
  <si>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</si>
  <si>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</si>
  <si>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</si>
  <si>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</si>
  <si>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</si>
  <si>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</si>
  <si>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</si>
  <si>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</si>
  <si>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</si>
  <si>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</si>
  <si>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</si>
  <si>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</si>
  <si>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</si>
  <si>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</si>
  <si>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</si>
  <si>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</si>
  <si>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</si>
  <si>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</si>
  <si>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</si>
  <si>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</si>
  <si>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</si>
  <si>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</si>
  <si>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</si>
  <si>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</si>
  <si>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</si>
  <si>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</si>
  <si>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</si>
  <si>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</si>
  <si>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</si>
  <si>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</si>
  <si>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</si>
  <si>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</si>
  <si>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</si>
  <si>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</si>
  <si>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</si>
  <si>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</si>
  <si>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</si>
  <si>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</si>
  <si>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</si>
  <si>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</si>
  <si>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</si>
  <si>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</si>
  <si>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</si>
  <si>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</si>
  <si>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</si>
  <si>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</si>
  <si>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</si>
  <si>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</si>
  <si>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</si>
  <si>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</si>
  <si>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</si>
  <si>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</si>
  <si>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</si>
  <si>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</si>
  <si>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</si>
  <si>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</si>
  <si>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</si>
  <si>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</si>
  <si>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</si>
  <si>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</si>
  <si>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</si>
  <si>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</si>
  <si>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</si>
  <si>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</si>
  <si>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</si>
  <si>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</si>
  <si>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</si>
  <si>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</si>
  <si>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</si>
  <si>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</si>
  <si>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</si>
  <si>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</si>
  <si>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</si>
  <si>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</si>
  <si>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</si>
  <si>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</si>
  <si>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</si>
  <si>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</si>
  <si>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</si>
  <si>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</si>
  <si>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</si>
  <si>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</si>
  <si>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</si>
  <si>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</si>
  <si>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</si>
  <si>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</si>
  <si>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</si>
  <si>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</si>
  <si>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</si>
  <si>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</si>
  <si>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</si>
  <si>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</si>
  <si>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</si>
  <si>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</si>
  <si>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</si>
  <si>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</si>
  <si>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</si>
  <si>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</si>
  <si>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</si>
  <si>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</si>
  <si>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</si>
  <si>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</si>
  <si>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</si>
  <si>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</si>
  <si>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</si>
  <si>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</si>
  <si>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</si>
  <si>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</si>
  <si>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</si>
  <si>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</si>
  <si>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</si>
  <si>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</si>
  <si>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</si>
  <si>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</si>
  <si>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</si>
  <si>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</si>
  <si>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</si>
  <si>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</si>
  <si>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</si>
  <si>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</si>
  <si>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</si>
  <si>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</si>
  <si>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</si>
  <si>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</si>
  <si>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</si>
  <si>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</si>
  <si>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</si>
  <si>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</si>
  <si>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</si>
  <si>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</si>
  <si>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</si>
  <si>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</si>
  <si>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</si>
  <si>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</si>
  <si>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</si>
  <si>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</si>
  <si>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</si>
  <si>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</si>
  <si>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</si>
  <si>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</si>
  <si>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</si>
  <si>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</si>
  <si>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</si>
  <si>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</si>
  <si>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</si>
  <si>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</si>
  <si>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</si>
  <si>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</si>
  <si>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</si>
  <si>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</si>
  <si>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</si>
  <si>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</si>
  <si>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</si>
  <si>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</si>
  <si>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</si>
  <si>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</si>
  <si>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</si>
  <si>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</si>
  <si>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</si>
  <si>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</si>
  <si>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</si>
  <si>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</si>
  <si>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</si>
  <si>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</si>
  <si>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</si>
  <si>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</si>
  <si>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</si>
  <si>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</si>
  <si>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</si>
  <si>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</si>
  <si>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</si>
  <si>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</si>
  <si>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</si>
  <si>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</si>
  <si>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</si>
  <si>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</si>
  <si>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</si>
  <si>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</si>
  <si>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</si>
  <si>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</si>
  <si>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</si>
  <si>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</si>
  <si>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</si>
  <si>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</si>
  <si>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</si>
  <si>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</si>
  <si>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</si>
  <si>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</si>
  <si>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</si>
  <si>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</si>
  <si>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</si>
  <si>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</si>
  <si>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</si>
  <si>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</si>
  <si>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</si>
  <si>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</si>
  <si>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</si>
  <si>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</si>
  <si>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</si>
  <si>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</si>
  <si>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</si>
  <si>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</si>
  <si>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</si>
  <si>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</si>
  <si>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</si>
  <si>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</si>
  <si>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</si>
  <si>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</si>
  <si>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</si>
  <si>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</si>
  <si>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</si>
  <si>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</si>
  <si>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</si>
  <si>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</si>
  <si>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</si>
  <si>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</si>
  <si>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</si>
  <si>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</si>
  <si>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</si>
  <si>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</si>
  <si>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</si>
  <si>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</si>
  <si>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</si>
  <si>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</si>
  <si>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</si>
  <si>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</si>
  <si>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</si>
  <si>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</si>
  <si>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</si>
  <si>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</si>
  <si>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</si>
  <si>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</si>
  <si>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</si>
  <si>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</si>
  <si>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</si>
  <si>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</si>
  <si>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</si>
  <si>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</si>
  <si>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</si>
  <si>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</si>
  <si>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</si>
  <si>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</si>
  <si>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</si>
  <si>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</si>
  <si>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</si>
  <si>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</si>
  <si>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</si>
  <si>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</si>
  <si>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</si>
  <si>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</si>
  <si>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</si>
  <si>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</si>
  <si>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</si>
  <si>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</si>
  <si>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</si>
  <si>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</si>
  <si>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</si>
  <si>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</si>
  <si>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</si>
  <si>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</si>
  <si>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</si>
  <si>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</si>
  <si>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</si>
  <si>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</si>
  <si>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</si>
  <si>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</si>
  <si>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</si>
  <si>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</si>
  <si>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</si>
  <si>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</si>
  <si>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</si>
  <si>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</si>
  <si>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</si>
  <si>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</si>
  <si>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</si>
  <si>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</si>
  <si>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</si>
  <si>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</si>
  <si>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</si>
  <si>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</si>
  <si>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</si>
  <si>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</si>
  <si>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</si>
  <si>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</si>
  <si>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</si>
  <si>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</si>
  <si>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</si>
  <si>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</si>
  <si>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</si>
  <si>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</si>
  <si>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</si>
  <si>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</si>
  <si>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</si>
  <si>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</si>
  <si>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</si>
  <si>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</si>
  <si>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</si>
  <si>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</si>
  <si>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</si>
  <si>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</si>
  <si>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</si>
  <si>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</si>
  <si>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</si>
  <si>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</si>
  <si>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</si>
  <si>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</si>
  <si>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</si>
  <si>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</si>
  <si>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</si>
  <si>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</si>
  <si>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</si>
  <si>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</si>
  <si>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</si>
  <si>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</si>
  <si>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</si>
  <si>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</si>
  <si>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</si>
  <si>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</si>
  <si>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</si>
  <si>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</si>
  <si>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</si>
  <si>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</si>
  <si>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</si>
  <si>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</si>
  <si>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</si>
  <si>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</si>
  <si>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</si>
  <si>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</si>
  <si>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</si>
  <si>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</si>
  <si>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</si>
  <si>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</si>
  <si>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</si>
  <si>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</si>
  <si>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</si>
  <si>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</si>
  <si>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</si>
  <si>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</si>
  <si>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</si>
  <si>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</si>
  <si>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</si>
  <si>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</si>
  <si>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</si>
  <si>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</si>
  <si>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</si>
  <si>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</si>
  <si>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</si>
  <si>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</si>
  <si>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</si>
  <si>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</si>
  <si>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</si>
  <si>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</si>
  <si>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</si>
  <si>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</si>
  <si>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</si>
  <si>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</si>
  <si>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</si>
  <si>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</si>
  <si>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</si>
  <si>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</si>
  <si>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</si>
  <si>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</si>
  <si>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</si>
  <si>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</si>
  <si>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</si>
  <si>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</si>
  <si>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</si>
  <si>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</si>
  <si>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</si>
  <si>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</si>
  <si>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</si>
  <si>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</si>
  <si>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</si>
  <si>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</si>
  <si>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</si>
  <si>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</si>
  <si>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</si>
  <si>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</si>
  <si>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</si>
  <si>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</si>
  <si>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</si>
  <si>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</si>
  <si>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</si>
  <si>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</si>
  <si>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</si>
  <si>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</si>
  <si>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</si>
  <si>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</si>
  <si>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</si>
  <si>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</si>
  <si>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</si>
  <si>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</si>
  <si>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</si>
  <si>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</si>
  <si>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</si>
  <si>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</si>
  <si>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</si>
  <si>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</si>
  <si>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</si>
  <si>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</si>
  <si>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</si>
  <si>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</si>
  <si>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</si>
  <si>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</si>
  <si>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</si>
  <si>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</si>
  <si>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</si>
  <si>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</si>
  <si>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</si>
  <si>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</si>
  <si>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</si>
  <si>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</si>
  <si>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</si>
  <si>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</si>
  <si>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</si>
  <si>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</si>
  <si>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</si>
  <si>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</si>
  <si>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</si>
  <si>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</si>
  <si>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</si>
  <si>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</si>
  <si>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</si>
  <si>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</si>
  <si>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</si>
  <si>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</si>
  <si>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</si>
  <si>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</si>
  <si>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</si>
  <si>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</si>
  <si>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</si>
  <si>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</si>
  <si>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</si>
  <si>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</si>
  <si>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</si>
  <si>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</si>
  <si>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</si>
  <si>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</si>
  <si>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</si>
  <si>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</si>
  <si>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</si>
  <si>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</si>
  <si>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</si>
  <si>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</si>
  <si>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</si>
  <si>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</si>
  <si>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</si>
  <si>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</si>
  <si>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</si>
  <si>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</si>
  <si>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</si>
  <si>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</si>
  <si>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</si>
  <si>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</si>
  <si>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</si>
  <si>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</si>
  <si>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</si>
  <si>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</si>
  <si>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</si>
  <si>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</si>
  <si>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</si>
  <si>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</si>
  <si>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</si>
  <si>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</si>
  <si>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</si>
  <si>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</si>
  <si>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</si>
  <si>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</si>
  <si>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</si>
  <si>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</si>
  <si>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</si>
  <si>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</si>
  <si>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</si>
  <si>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</si>
  <si>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</si>
  <si>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</si>
  <si>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</si>
  <si>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</si>
  <si>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</si>
  <si>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</si>
  <si>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</si>
  <si>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</si>
  <si>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</si>
  <si>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</si>
  <si>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</si>
  <si>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</si>
  <si>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</si>
  <si>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</si>
  <si>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</si>
  <si>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</si>
  <si>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</si>
  <si>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</si>
  <si>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</si>
  <si>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</si>
  <si>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</si>
  <si>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</si>
  <si>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</si>
  <si>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</si>
  <si>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</si>
  <si>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</si>
  <si>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</si>
  <si>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</si>
  <si>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</si>
  <si>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</si>
  <si>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</si>
  <si>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</si>
  <si>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</si>
  <si>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</si>
  <si>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</si>
  <si>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</si>
  <si>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</si>
  <si>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</si>
  <si>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</si>
  <si>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</si>
  <si>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</si>
  <si>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</si>
  <si>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</si>
  <si>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</si>
  <si>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</si>
  <si>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</si>
  <si>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</si>
  <si>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</si>
  <si>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</si>
  <si>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</si>
  <si>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</si>
  <si>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</si>
  <si>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</si>
  <si>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</si>
  <si>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</si>
  <si>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</si>
  <si>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</si>
  <si>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</si>
  <si>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</si>
  <si>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</si>
  <si>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</si>
  <si>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</si>
  <si>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</si>
  <si>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</si>
  <si>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</si>
  <si>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</si>
  <si>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</si>
  <si>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</si>
  <si>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</si>
  <si>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</si>
  <si>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</si>
  <si>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</si>
  <si>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</si>
  <si>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</si>
  <si>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</si>
  <si>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</si>
  <si>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</si>
  <si>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</si>
  <si>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</si>
  <si>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</si>
  <si>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</si>
  <si>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</si>
  <si>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</si>
  <si>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</si>
  <si>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</si>
  <si>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</si>
  <si>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</si>
  <si>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</si>
  <si>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</si>
  <si>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</si>
  <si>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</si>
  <si>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</si>
  <si>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</si>
  <si>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</si>
  <si>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</si>
  <si>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</si>
  <si>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</si>
  <si>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</si>
  <si>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</si>
  <si>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</si>
  <si>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</si>
  <si>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</si>
  <si>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</si>
  <si>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</si>
  <si>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</si>
  <si>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</si>
  <si>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</si>
  <si>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</si>
  <si>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</si>
  <si>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</si>
  <si>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</si>
  <si>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</si>
  <si>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</si>
  <si>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</si>
  <si>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</si>
  <si>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</si>
  <si>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</si>
  <si>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</si>
  <si>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</si>
  <si>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</si>
  <si>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</si>
  <si>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</si>
  <si>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</si>
  <si>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</si>
  <si>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</si>
  <si>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</si>
  <si>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</si>
  <si>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</si>
  <si>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</si>
  <si>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</si>
  <si>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</si>
  <si>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</si>
  <si>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</si>
  <si>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</si>
  <si>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</si>
  <si>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</si>
  <si>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</si>
  <si>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</si>
  <si>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</si>
  <si>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</si>
  <si>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</si>
  <si>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</si>
  <si>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</si>
  <si>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</si>
  <si>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</si>
  <si>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</si>
  <si>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</si>
  <si>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</si>
  <si>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</si>
  <si>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</si>
  <si>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</si>
  <si>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</si>
  <si>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</si>
  <si>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</si>
  <si>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</si>
  <si>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</si>
  <si>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</si>
  <si>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</si>
  <si>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</si>
  <si>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</si>
  <si>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</si>
  <si>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</si>
  <si>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</si>
  <si>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</si>
  <si>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</si>
  <si>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</si>
  <si>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</si>
  <si>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</si>
  <si>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</si>
  <si>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</si>
  <si>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</si>
  <si>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</si>
  <si>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</si>
  <si>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</si>
  <si>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</si>
  <si>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</si>
  <si>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</si>
  <si>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</si>
  <si>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</si>
  <si>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</si>
  <si>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</si>
  <si>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</si>
  <si>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</si>
  <si>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</si>
  <si>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</si>
  <si>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</si>
  <si>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</si>
  <si>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</si>
  <si>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</si>
  <si>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</si>
  <si>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</si>
  <si>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</si>
  <si>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</si>
  <si>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</si>
  <si>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</si>
  <si>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</si>
  <si>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</si>
  <si>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</si>
  <si>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</si>
  <si>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</si>
  <si>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</si>
  <si>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</si>
  <si>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</si>
  <si>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</si>
  <si>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</si>
  <si>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</si>
  <si>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</si>
  <si>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</si>
  <si>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</si>
  <si>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</si>
  <si>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</si>
  <si>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</si>
  <si>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</si>
  <si>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</si>
  <si>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</si>
  <si>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</si>
  <si>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</si>
  <si>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</si>
  <si>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</si>
  <si>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</si>
  <si>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</si>
  <si>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</si>
  <si>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</si>
  <si>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</si>
  <si>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</si>
  <si>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</si>
  <si>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</si>
  <si>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</si>
  <si>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</si>
  <si>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</si>
  <si>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</si>
  <si>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</si>
  <si>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</si>
  <si>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</si>
  <si>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</si>
  <si>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</si>
  <si>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</si>
  <si>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</si>
  <si>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</si>
  <si>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</si>
  <si>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</si>
  <si>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</si>
  <si>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</si>
  <si>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</si>
  <si>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</si>
  <si>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</si>
  <si>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</si>
  <si>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</si>
  <si>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</si>
  <si>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</si>
  <si>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</si>
  <si>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</si>
  <si>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</si>
  <si>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</si>
  <si>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</si>
  <si>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</si>
  <si>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</si>
  <si>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</si>
  <si>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</si>
  <si>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</si>
  <si>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</si>
  <si>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</si>
  <si>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</si>
  <si>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</si>
  <si>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</si>
  <si>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</si>
  <si>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</si>
  <si>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</si>
  <si>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</si>
  <si>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</si>
  <si>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</si>
  <si>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</si>
  <si>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</si>
  <si>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</si>
  <si>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</si>
  <si>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</si>
  <si>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</si>
  <si>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</si>
  <si>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</si>
  <si>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</si>
  <si>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</si>
  <si>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</si>
  <si>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</si>
  <si>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</si>
  <si>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</si>
  <si>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</si>
  <si>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</si>
  <si>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</si>
  <si>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</si>
  <si>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</si>
  <si>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</si>
  <si>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</si>
  <si>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</si>
  <si>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</si>
  <si>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</si>
  <si>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</si>
  <si>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</si>
  <si>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</si>
  <si>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</si>
  <si>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</si>
  <si>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</si>
  <si>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</si>
  <si>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</si>
  <si>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</si>
  <si>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</si>
  <si>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</si>
  <si>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</si>
  <si>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</si>
  <si>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</si>
  <si>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</si>
  <si>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</si>
  <si>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</si>
  <si>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</si>
  <si>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</si>
  <si>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</si>
  <si>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</si>
  <si>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</si>
  <si>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</si>
  <si>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</si>
  <si>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</si>
  <si>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</si>
  <si>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</si>
  <si>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</si>
  <si>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</si>
  <si>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</si>
  <si>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</si>
  <si>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</si>
  <si>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</si>
  <si>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</si>
  <si>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</si>
  <si>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</si>
  <si>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</si>
  <si>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</si>
  <si>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</si>
  <si>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</si>
  <si>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</si>
  <si>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</si>
  <si>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</si>
  <si>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</si>
  <si>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</si>
  <si>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</si>
  <si>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</si>
  <si>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</si>
  <si>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</si>
  <si>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</si>
  <si>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</si>
  <si>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</si>
  <si>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</si>
  <si>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</si>
  <si>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</si>
  <si>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</si>
  <si>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</si>
  <si>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</si>
  <si>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</si>
  <si>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</si>
  <si>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</si>
  <si>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</si>
  <si>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</si>
  <si>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</si>
  <si>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</si>
  <si>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</si>
  <si>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</si>
  <si>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</si>
  <si>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</si>
  <si>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</si>
  <si>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</si>
  <si>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</si>
  <si>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</si>
  <si>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</si>
  <si>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</si>
  <si>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</si>
  <si>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</si>
  <si>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</si>
  <si>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</si>
  <si>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</si>
  <si>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</si>
  <si>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</si>
  <si>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</si>
  <si>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</si>
  <si>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</si>
  <si>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</si>
  <si>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</si>
  <si>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</si>
  <si>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</si>
  <si>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</si>
  <si>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</si>
  <si>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</si>
  <si>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</si>
  <si>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</si>
  <si>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</si>
  <si>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</si>
  <si>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</si>
  <si>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</si>
  <si>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</si>
  <si>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</si>
  <si>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</si>
  <si>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</si>
  <si>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</si>
  <si>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</si>
  <si>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</si>
  <si>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</si>
  <si>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</si>
  <si>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</si>
  <si>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</si>
  <si>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</si>
  <si>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</si>
  <si>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</si>
  <si>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</si>
  <si>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</si>
  <si>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</si>
  <si>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</si>
  <si>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</si>
  <si>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</si>
  <si>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</si>
  <si>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</si>
  <si>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</si>
  <si>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</si>
  <si>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</si>
  <si>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</si>
  <si>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</si>
  <si>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</si>
  <si>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</si>
  <si>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</si>
  <si>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</si>
  <si>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</si>
  <si>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</si>
  <si>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</si>
  <si>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</si>
  <si>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</si>
  <si>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</si>
  <si>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</si>
  <si>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</si>
  <si>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</si>
  <si>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</si>
  <si>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</si>
  <si>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</si>
  <si>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</si>
  <si>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</si>
  <si>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</si>
  <si>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</si>
  <si>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</si>
  <si>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</si>
  <si>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</si>
  <si>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</si>
  <si>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</si>
  <si>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</si>
  <si>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</si>
  <si>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</si>
  <si>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</si>
  <si>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</si>
  <si>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</si>
  <si>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</si>
  <si>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</si>
  <si>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</si>
  <si>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</si>
  <si>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</si>
  <si>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</si>
  <si>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</si>
  <si>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</si>
  <si>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</si>
  <si>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</si>
  <si>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</si>
  <si>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</si>
  <si>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</si>
  <si>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</si>
  <si>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</si>
  <si>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</si>
  <si>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</si>
  <si>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</si>
  <si>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</si>
  <si>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</si>
  <si>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</si>
  <si>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</si>
  <si>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</si>
  <si>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</si>
  <si>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</si>
  <si>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</si>
  <si>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</si>
  <si>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</si>
  <si>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</si>
  <si>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</si>
  <si>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</si>
  <si>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</si>
  <si>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</si>
  <si>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</si>
  <si>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</si>
  <si>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</si>
  <si>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</si>
  <si>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</si>
  <si>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</si>
  <si>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</si>
  <si>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</si>
  <si>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</si>
  <si>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</si>
  <si>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</si>
  <si>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</si>
  <si>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</si>
  <si>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</si>
  <si>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</si>
  <si>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</si>
  <si>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</si>
  <si>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</si>
  <si>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</si>
  <si>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</si>
  <si>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</si>
  <si>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</si>
  <si>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</si>
  <si>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</si>
  <si>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</si>
  <si>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</si>
  <si>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</si>
  <si>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</si>
  <si>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</si>
  <si>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</si>
  <si>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</si>
  <si>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</si>
  <si>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</si>
  <si>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</si>
  <si>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</si>
  <si>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</si>
  <si>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</si>
  <si>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</si>
  <si>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</si>
  <si>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</si>
  <si>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</si>
  <si>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</si>
  <si>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</si>
  <si>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</si>
  <si>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</si>
  <si>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</si>
  <si>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</si>
  <si>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</si>
  <si>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</si>
  <si>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</si>
  <si>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</si>
  <si>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</si>
  <si>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</si>
  <si>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</si>
  <si>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</si>
  <si>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</si>
  <si>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</si>
  <si>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</si>
  <si>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</si>
  <si>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</si>
  <si>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</si>
  <si>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</si>
  <si>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</si>
  <si>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</si>
  <si>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</si>
  <si>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</si>
  <si>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</si>
  <si>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</si>
  <si>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</si>
  <si>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</si>
  <si>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</si>
  <si>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</si>
  <si>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</si>
  <si>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</si>
  <si>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</si>
  <si>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</si>
  <si>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</si>
  <si>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</si>
  <si>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</si>
  <si>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</si>
  <si>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</si>
  <si>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</si>
  <si>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</si>
  <si>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</si>
  <si>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</si>
  <si>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</si>
  <si>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</si>
  <si>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</si>
  <si>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</si>
  <si>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</si>
  <si>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</si>
  <si>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</si>
  <si>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</si>
  <si>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</si>
  <si>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</si>
  <si>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</si>
  <si>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</si>
  <si>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</si>
  <si>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</si>
  <si>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</si>
  <si>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</si>
  <si>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</si>
  <si>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</si>
  <si>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</si>
  <si>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</si>
  <si>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</si>
  <si>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</si>
  <si>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</si>
  <si>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</si>
  <si>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</si>
  <si>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</si>
  <si>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</si>
  <si>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</si>
  <si>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</si>
  <si>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</si>
  <si>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</si>
  <si>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</si>
  <si>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</si>
  <si>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</si>
  <si>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</si>
  <si>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</si>
  <si>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</si>
  <si>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</si>
  <si>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</si>
  <si>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</si>
  <si>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</si>
  <si>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</si>
  <si>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</si>
  <si>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</si>
  <si>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</si>
  <si>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</si>
  <si>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</si>
  <si>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</si>
  <si>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</si>
  <si>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</si>
  <si>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</si>
  <si>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</si>
  <si>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</si>
  <si>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</si>
  <si>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</si>
  <si>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</si>
  <si>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</si>
  <si>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</si>
  <si>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</si>
  <si>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</si>
  <si>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</si>
  <si>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</si>
  <si>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</si>
  <si>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</si>
  <si>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</si>
  <si>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</si>
  <si>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</si>
  <si>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</si>
  <si>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</si>
  <si>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</si>
  <si>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</si>
  <si>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</si>
  <si>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</si>
  <si>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</si>
  <si>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</si>
  <si>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</si>
  <si>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</si>
  <si>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</si>
  <si>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</si>
  <si>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</si>
  <si>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</si>
  <si>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</si>
  <si>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</si>
  <si>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</si>
  <si>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</si>
  <si>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</si>
  <si>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</si>
  <si>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</si>
  <si>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</si>
  <si>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</si>
  <si>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</si>
  <si>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</si>
  <si>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</si>
  <si>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</si>
  <si>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</si>
  <si>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</si>
  <si>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</si>
  <si>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</si>
  <si>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</si>
  <si>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</si>
  <si>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</si>
  <si>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</si>
  <si>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</si>
  <si>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</si>
  <si>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</si>
  <si>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</si>
  <si>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</si>
  <si>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</si>
  <si>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</si>
  <si>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</si>
  <si>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</si>
  <si>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</si>
  <si>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</si>
  <si>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</si>
  <si>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</si>
  <si>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</si>
  <si>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</si>
  <si>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</si>
  <si>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</si>
  <si>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</si>
  <si>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</si>
  <si>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</si>
  <si>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</si>
  <si>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</si>
  <si>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</si>
  <si>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</si>
  <si>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</si>
  <si>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</si>
  <si>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</si>
  <si>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</si>
  <si>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</si>
  <si>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</si>
  <si>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</si>
  <si>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</si>
  <si>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</si>
  <si>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</si>
  <si>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</si>
  <si>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</si>
  <si>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</si>
  <si>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</si>
  <si>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</si>
  <si>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</si>
  <si>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</si>
  <si>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</si>
  <si>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</si>
  <si>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</si>
  <si>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</si>
  <si>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</si>
  <si>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</si>
  <si>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</si>
  <si>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</si>
  <si>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</si>
  <si>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</si>
  <si>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</si>
  <si>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</si>
  <si>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</si>
  <si>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</si>
  <si>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</si>
  <si>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</si>
  <si>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</si>
  <si>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</si>
  <si>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</si>
  <si>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</si>
  <si>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</si>
  <si>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</si>
  <si>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</si>
  <si>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</si>
  <si>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</si>
  <si>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</si>
  <si>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</si>
  <si>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</si>
  <si>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</si>
  <si>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</si>
  <si>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</si>
  <si>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</si>
  <si>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</si>
  <si>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</si>
  <si>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</si>
  <si>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</si>
  <si>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</si>
  <si>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</si>
  <si>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</si>
  <si>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</si>
  <si>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</si>
  <si>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</si>
  <si>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</si>
  <si>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</si>
  <si>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</si>
  <si>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</si>
  <si>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</si>
  <si>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</si>
  <si>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</si>
  <si>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</si>
  <si>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</si>
  <si>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</si>
  <si>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</si>
  <si>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</si>
  <si>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</si>
  <si>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</si>
  <si>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</si>
  <si>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</si>
  <si>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</si>
  <si>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</si>
  <si>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</si>
  <si>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</si>
  <si>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</si>
  <si>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</si>
  <si>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</si>
  <si>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</si>
  <si>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</si>
  <si>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</si>
  <si>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</si>
  <si>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</si>
  <si>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</si>
  <si>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</si>
  <si>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</si>
  <si>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</si>
  <si>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</si>
  <si>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</si>
  <si>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</si>
  <si>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</si>
  <si>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</si>
  <si>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</si>
  <si>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</si>
  <si>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</si>
  <si>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</si>
  <si>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</si>
  <si>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</si>
  <si>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</si>
  <si>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</si>
  <si>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</si>
  <si>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</si>
  <si>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</si>
  <si>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</si>
  <si>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</si>
  <si>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</si>
  <si>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</si>
  <si>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</si>
  <si>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</si>
  <si>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</si>
  <si>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</si>
  <si>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</si>
  <si>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</si>
  <si>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</si>
  <si>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</si>
  <si>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</si>
  <si>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</si>
  <si>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</si>
  <si>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</si>
  <si>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</si>
  <si>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</si>
  <si>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</si>
  <si>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</si>
  <si>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</si>
  <si>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</si>
  <si>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</si>
  <si>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</si>
  <si>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</si>
  <si>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</si>
  <si>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</si>
  <si>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</si>
  <si>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</si>
  <si>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</si>
  <si>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</si>
  <si>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</si>
  <si>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</si>
  <si>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</si>
  <si>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</si>
  <si>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</si>
  <si>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</si>
  <si>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</si>
  <si>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</si>
  <si>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</si>
  <si>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</si>
  <si>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</si>
  <si>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</si>
  <si>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</si>
  <si>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</si>
  <si>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</si>
  <si>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</si>
  <si>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</si>
  <si>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</si>
  <si>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</si>
  <si>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</si>
  <si>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</si>
  <si>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</si>
  <si>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</si>
  <si>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</si>
  <si>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</si>
  <si>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</si>
  <si>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</si>
  <si>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</si>
  <si>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</si>
  <si>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</si>
  <si>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</si>
  <si>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</si>
  <si>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</si>
  <si>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</si>
  <si>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</si>
  <si>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</si>
  <si>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</si>
  <si>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</si>
  <si>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</si>
  <si>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</si>
  <si>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</si>
  <si>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</si>
  <si>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</si>
  <si>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</si>
  <si>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</si>
  <si>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</si>
  <si>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</si>
  <si>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</si>
  <si>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</si>
  <si>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</si>
  <si>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</si>
  <si>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</si>
  <si>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</si>
  <si>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</si>
  <si>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</si>
  <si>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</si>
  <si>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</si>
  <si>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</si>
  <si>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</si>
  <si>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</si>
  <si>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</si>
  <si>
    <t xml:space="preserve">Diber </t>
  </si>
  <si>
    <t>Lorenc CIBAKU</t>
  </si>
  <si>
    <t>Bulevardi " Elez ISUFI"</t>
  </si>
  <si>
    <t xml:space="preserve">Peshkopi </t>
  </si>
  <si>
    <t xml:space="preserve">                               </t>
  </si>
  <si>
    <t xml:space="preserve">Drejtoria e sherbimeve mbeshtetese </t>
  </si>
  <si>
    <t>Sektori I taksave</t>
  </si>
  <si>
    <t>Bujar MANJA</t>
  </si>
  <si>
    <t>Gjendja CIVILE</t>
  </si>
  <si>
    <t>Munir ZIRA</t>
  </si>
  <si>
    <t>Malbora LALA</t>
  </si>
  <si>
    <t xml:space="preserve">Sektori Policia Bashkiake </t>
  </si>
  <si>
    <t>Miftar Murataj</t>
  </si>
  <si>
    <t>Drejtoria MNZSH</t>
  </si>
  <si>
    <t>Fatos Gjoka</t>
  </si>
  <si>
    <t>QKB</t>
  </si>
  <si>
    <t>Hari Shehu</t>
  </si>
  <si>
    <t>Drejtoria e Buqesise</t>
  </si>
  <si>
    <t>Ramazan ZILI</t>
  </si>
  <si>
    <t xml:space="preserve">Sektori Menaxhimit te mbejtjeve </t>
  </si>
  <si>
    <t>Antike Torba</t>
  </si>
  <si>
    <t>Sektori Ndihma Ekonomike</t>
  </si>
  <si>
    <t>Ardit Hoxha</t>
  </si>
  <si>
    <t>Sonila Braha</t>
  </si>
  <si>
    <t xml:space="preserve">Sektori arsimit dhe  kultures </t>
  </si>
  <si>
    <t>Qendra Kulturore</t>
  </si>
  <si>
    <t>Arif Vladi</t>
  </si>
  <si>
    <t>Klubi shumesportesh Klubi futbollit "Korabi"</t>
  </si>
  <si>
    <t>Femi Mziu</t>
  </si>
  <si>
    <t>Qendra Balneare</t>
  </si>
  <si>
    <t>Arben Keshi</t>
  </si>
  <si>
    <t xml:space="preserve">Sektori I ndicimit </t>
  </si>
  <si>
    <t>Abdi Hoxha</t>
  </si>
  <si>
    <t>Drejtoria Sherbimeve</t>
  </si>
  <si>
    <t>Agron Cara</t>
  </si>
  <si>
    <t>Drejtoria e Konviktit</t>
  </si>
  <si>
    <t>Jonida Pershaku</t>
  </si>
  <si>
    <t xml:space="preserve">Shpenzime vendime Gjyqesore </t>
  </si>
  <si>
    <t>Blerjet 602</t>
  </si>
  <si>
    <t xml:space="preserve">Mallrat Ushqimore </t>
  </si>
  <si>
    <t>Detyrime sigurime shoqerore shendetsore</t>
  </si>
  <si>
    <t>Rikonstruksioni I shkolles 9-vjecare Rreth-Kale ,NJA Muhurr</t>
  </si>
  <si>
    <t xml:space="preserve">Rikonstruksioni dhe hidroizolimi I tarraces se tregut te mishit te Bashkise Diber </t>
  </si>
  <si>
    <t>Rikonstruksioni I varrezave publike Peshkopi,vitit 2017,bashkia Diber</t>
  </si>
  <si>
    <t>Rehabilitimi I sistemit ujites,Begjunec-Dobrove,Bashkia Diber,2018</t>
  </si>
  <si>
    <t xml:space="preserve">Punime ,mirembajtje ,ndertime rehabilitime te kanaleve ujitese ne Bashkine Diber </t>
  </si>
  <si>
    <t xml:space="preserve">Rehabilitimi I Rezervuarit te Shimcanit </t>
  </si>
  <si>
    <t xml:space="preserve">Rehabilitim i varezave te deshmoreve </t>
  </si>
  <si>
    <t>Rehabilitim i varezavete deshmoreve</t>
  </si>
  <si>
    <t>Rinovim i infrastruktures se bulevardit " Elez Isufi" rruges " Safet Zhulali"( diference e palikjuduar</t>
  </si>
  <si>
    <t>Sistem asfaltim rruga e fshatrave Grezhdan, Pilafe, Majtare e poshtme dhe lagja Aksioni Peshkopi (situacion pjesor)</t>
  </si>
  <si>
    <t>Majtare e poshtme dhe lagja Aksioni, Peshkopi ( Situacion Pjesor)</t>
  </si>
  <si>
    <t>Punime, mirembajtje, ndertime rehabilitime te kanale ujitSe ne Bashkine Diber viti 2019</t>
  </si>
  <si>
    <t>Rikonstruksion i pjesshem per venien ne funksionim te kaldajes se gjimnazit " Seit Najdeni</t>
  </si>
  <si>
    <t>Ndertimi i ujesjellesit te brendshem Fshati Sohodoll Komuna Kastriot</t>
  </si>
  <si>
    <t>Rikonstruksioni varrezave publike Peshkopi Viti 2017 Bashkia Diber</t>
  </si>
  <si>
    <t>Sistemi asfaltim i lagjes Llixha-Banje , Nja Peshkopi Bashkia Diber</t>
  </si>
  <si>
    <t xml:space="preserve">Sistemim asfaltim Lagja V.Dibra  zona poshte shkolles 9 vjecare </t>
  </si>
  <si>
    <t>Sist asfaltim Lagja Gjok Doci  dhe pas ish-Policise dhe zonat ku ka perfunduar rrjeti I Ujesjellesit</t>
  </si>
  <si>
    <t>Rikonstruksioni I ish zyra e nd Rruga Ura Peshkopi +sistemi I ngrohjes</t>
  </si>
  <si>
    <t>Rikonstruksion dhe mirembajtje te kanaleve vaditese te NJA Sllove,Luzni,Selishte,,Fushe Cidhen</t>
  </si>
  <si>
    <t>Rivitalizim lulishtesh ne lagje ( f.v stola druri/betoni, rrethime metalike etj)</t>
  </si>
  <si>
    <t>Sistemim asfaltim i rruges se fshatit Grazhdan nga kryqezimi i aksit nacional Peshkopi - Tirane</t>
  </si>
  <si>
    <t>Sistemim asfaltim i rruges se fshatit Pilafe nga kryqezimi i rruges nacionale " Peshkopi - Kukes"</t>
  </si>
  <si>
    <t xml:space="preserve">Rikonstruksioni i rruges se Dovolanit + kontraten shtese </t>
  </si>
  <si>
    <t>Shërbim Projekt zbatimi i objektit sistemim i perroit te Llixhave, Segmenti Ura e pazarit - Llixha</t>
  </si>
  <si>
    <t>Sistemim asfaltim i rruges "Peshkopi - D/Staravec - Shimcan-Zimur" (Loti I) Kontrate shtese</t>
  </si>
  <si>
    <t>Shërbim mbikeqyrje kolaudim i objektit Permiresimi i infrastruktures vendore, rivitalizimi i hapesirave publike.</t>
  </si>
  <si>
    <t>Riparim linje ujesjellesi lagjja Jakonim - Shumbat</t>
  </si>
  <si>
    <t>Ndertim i ures per fshatin Kercisht i Eperm</t>
  </si>
  <si>
    <t>Shërbim mbikeqyrje dhe kolaudim i objektit: Sistemim asfaltim i rruges se fshatit Grazhdan nga kryqezimi i aksit nacional Peshkopi - Tirane</t>
  </si>
  <si>
    <t>Sistemim asfaltim rrugesh kryesore, mbushje gropa, kuneta, trotuare,</t>
  </si>
  <si>
    <t>Shërbim mbikeqyrje dhe kolaudim i objektit: Sistemim asfaltim rruga "Majtare e Poshtme"</t>
  </si>
  <si>
    <t>Sherbim mbikqyrje dhe kolaudim:Sistemim asfaltim i rruges se fshatit Pilafe nga kryqezimi i rruges nacionale " Peshkopi - Kukes"</t>
  </si>
  <si>
    <t>Mbikqyrje e punimeve per objektin "Mirembajtje dimerore e rrugeve rurale Bashkia Diber 2019"</t>
  </si>
  <si>
    <t>Sherbim mbikqyrje dhe kolaudim per rikonstruksioni i varrezave publike, faza e dyte per vitin 2017</t>
  </si>
  <si>
    <t>Sherbim mbikqyrje e punimeve per objektin "Sistemim asfaltim i rruges se fshatit Melan"</t>
  </si>
  <si>
    <t>Sistemim asfaltim i rruges se fshatit Melan</t>
  </si>
  <si>
    <t>Sherbim mbikqyrje per objektin "Sistemim asfaltim i lagjes Llixha-Banje"</t>
  </si>
  <si>
    <t>Shërbim mbikeqyrje kolaudim ne kanalet vaditese te Njesive Administrative 2019</t>
  </si>
  <si>
    <t>Kolaudim i objekti "Sistemim asfaltimi i rrugeve Grezhdan, Majtare e Poshtme, Lagjja "Aksioni", fshati Pilafe"</t>
  </si>
  <si>
    <t>Sherbim mbikqyrje e punimeve per objektin "Rikonstruksion dhe mirembajtje e kanaleve ujitese, Bashkia Diber viti 2020"</t>
  </si>
  <si>
    <t>Rikonstruksioni dhe mirembajtje te kanaleve vaditese njesive administrative viti 2020</t>
  </si>
  <si>
    <t>Shërbim mbikqyrje e punimeve për objektin "Rikonstruksion i Sifonit ujitës dalja e Rezervuarit Shumbat 2019</t>
  </si>
  <si>
    <t>Sherbim mbikqyrje e punimeve per objektin "Rikonstruksion i qendres kulturore te femijeve, Bashkia Diber</t>
  </si>
  <si>
    <t>Sherbim mbikqyrje e punimeve per objektin "Rikonstruksion i kanalit ujites Perroi i Llixhave-Lagjja Dobrove"</t>
  </si>
  <si>
    <t>Sistemim asflatim i lagjes Bulke-Begjunec dhe blloku 6-katesh L tot= 1730 ml</t>
  </si>
  <si>
    <t>Blerje makine për administratën e Bashkisë Dibër</t>
  </si>
  <si>
    <t>Sistemim asfaltim i rruges se fshati Kukaj</t>
  </si>
  <si>
    <t>Sherbim mbikqyrje dhe kolaudim punimesh ne objektet e bashkise Diber</t>
  </si>
  <si>
    <t>Rikonstruksioni i zyrave në godinën e Bashkisë Dibër</t>
  </si>
  <si>
    <t>Rehabilitimi i rrugës së fshatit Hotesh, NJA Luzni</t>
  </si>
  <si>
    <t>Rikonstruksioni dhe mirembajtje te kanaleve vaditese njesive administrative viti 2021</t>
  </si>
  <si>
    <t>Shërbim projekt zbatimi per rruget e brendshme dhe rurale, shkollave, kopshteve ne Bashkine Diber</t>
  </si>
  <si>
    <t>Sistemim asfaltim i rrugës së fshatit Tomin</t>
  </si>
  <si>
    <t>Riveshje me asfalt i rrugës "Abdyl Frashëri", kryqëzimi i Shkollës Profesionale- Rruga e lagjes "Aksioni" dhe rrugën Prefekture-Kamen</t>
  </si>
  <si>
    <t xml:space="preserve">Sistemim asfaltimi i rrugës së lagjës "Vraniçe" dhe sistemim i sheshit të pallatit </t>
  </si>
  <si>
    <t>Sistemim asfaltim i rrugës Majtarë e Poshtme</t>
  </si>
  <si>
    <t>Sistemim asfaltim rrugëve të brendshme Lagjja "Gjone" NJA Maqellare</t>
  </si>
  <si>
    <t>Rikonstruksion dhe mirembajtje te kanaleve vaditese NJA Maqellar, Muhur, Tomin</t>
  </si>
  <si>
    <t xml:space="preserve">Sistemim asfsltim i rruges se fshatit Melan </t>
  </si>
  <si>
    <t>Punime mirembajtje, ndertime, rehabilitime te kanaleve ujitese ne Bashkine Diber</t>
  </si>
  <si>
    <t>Ndertimi i shkolles 9-vjecare Fshati Kercisht Bashkia Diber</t>
  </si>
  <si>
    <t>Punime mirembajtje, ndertime, rehabilitime te kanaleve ujitese ne Bashkine Diber, Viti 2019</t>
  </si>
  <si>
    <t>Sistemim asfaltim i lagjies Llixha-Banje, NJA Peshkopi</t>
  </si>
  <si>
    <t>Rikonstruksion dhe mirembajtje e kanaleve ujitese Bashkia Diber 2020</t>
  </si>
  <si>
    <t>Sherbim Projekt zbatimi i objektit Rikonstruksion I Rruges kryesore ish-NBSH deri te ish-SMT</t>
  </si>
  <si>
    <t>Ndertimi i linjes se furnizimit me uje te pishem Gurra e Eperme-Luzni-Peshkopi</t>
  </si>
  <si>
    <t>Sherbim mbikqyrje e punimeve per objektin Kanali Vadites Sete-Dardhe, Muhurr-Brezhdan</t>
  </si>
  <si>
    <t>Sistemim Asfaltim I rruges Arras Muze Sine</t>
  </si>
  <si>
    <t>Nderim I ujesjellesit te Maqellares</t>
  </si>
  <si>
    <t>Ndertim I trotuareve te shkolla Kamen</t>
  </si>
  <si>
    <t>Sistemim Asfaltim rruges Kamen L=160m</t>
  </si>
  <si>
    <t>Rikonstruksion I rruges Lace-Fushe Alie</t>
  </si>
  <si>
    <t>Rikonstruksion I rruges se fshatit Kalle-Sllove</t>
  </si>
  <si>
    <t>KUZ I fshatit Staravec L=655</t>
  </si>
  <si>
    <t>Rikonstruksion I kanalit ujites Fushe Lure</t>
  </si>
  <si>
    <t>Sistemim Asfaltim i rruges Leshe  Kander</t>
  </si>
  <si>
    <t>Sistemim Asfaltim i rruges Sektor Vakuf deri te shkolla</t>
  </si>
  <si>
    <t xml:space="preserve">Rikonstruksion I objekteve arsimore ne bashkine Diber </t>
  </si>
  <si>
    <t>Rikonstruksion dhe mirembajtje e kanaleve vaditese te njesive administrative</t>
  </si>
  <si>
    <t>Rikonstruksion Kopshti ne lagjen Vehbi Dibra</t>
  </si>
  <si>
    <t>Sistemim asfaltim Zall Kalis Sllove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</si>
</sst>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color theme="1"/>
      <name val="Century Gothic"/>
      <family val="2"/>
      <charset val="238"/>
    </font>
    <font>
      <sz val="10"/>
      <name val="Century Gothic"/>
      <family val="2"/>
      <charset val="238"/>
    </font>
    <font>
      <sz val="12"/>
      <color theme="1"/>
      <name val="Times New Roman"/>
      <family val="1"/>
    </font>
    <font>
      <sz val="12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  <xf numFmtId="0" fontId="1" fillId="0" borderId="0"/>
    <xf numFmtId="43" fontId="53" fillId="0" borderId="0" applyFont="0" applyFill="0" applyBorder="0" applyAlignment="0" applyProtection="0"/>
  </cellStyleXfs>
  <cellXfs count="1086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3" fontId="14" fillId="7" borderId="1" xfId="1" applyNumberFormat="1" applyFont="1" applyFill="1" applyBorder="1" applyAlignment="1" applyProtection="1">
      <alignment horizontal="center"/>
      <protection locked="0"/>
    </xf>
    <xf numFmtId="3" fontId="14" fillId="7" borderId="12" xfId="1" applyNumberFormat="1" applyFont="1" applyFill="1" applyBorder="1" applyAlignment="1" applyProtection="1">
      <alignment horizontal="center"/>
      <protection locked="0"/>
    </xf>
    <xf numFmtId="0" fontId="70" fillId="18" borderId="18" xfId="8" applyFont="1" applyFill="1" applyBorder="1" applyProtection="1">
      <protection locked="0"/>
    </xf>
    <xf numFmtId="0" fontId="71" fillId="0" borderId="1" xfId="0" applyFont="1" applyBorder="1" applyProtection="1">
      <protection locked="0"/>
    </xf>
    <xf numFmtId="0" fontId="70" fillId="18" borderId="1" xfId="8" applyFont="1" applyFill="1" applyBorder="1" applyProtection="1">
      <protection locked="0"/>
    </xf>
    <xf numFmtId="0" fontId="71" fillId="18" borderId="1" xfId="0" applyFont="1" applyFill="1" applyBorder="1" applyProtection="1">
      <protection locked="0"/>
    </xf>
    <xf numFmtId="0" fontId="71" fillId="18" borderId="12" xfId="0" applyFont="1" applyFill="1" applyBorder="1" applyProtection="1">
      <protection locked="0"/>
    </xf>
    <xf numFmtId="0" fontId="70" fillId="18" borderId="12" xfId="8" applyFont="1" applyFill="1" applyBorder="1" applyProtection="1">
      <protection locked="0"/>
    </xf>
    <xf numFmtId="0" fontId="70" fillId="18" borderId="1" xfId="0" applyFont="1" applyFill="1" applyBorder="1" applyAlignment="1" applyProtection="1">
      <alignment horizontal="left" vertical="center" wrapText="1"/>
      <protection locked="0"/>
    </xf>
    <xf numFmtId="0" fontId="74" fillId="0" borderId="1" xfId="0" applyFont="1" applyFill="1" applyBorder="1" applyAlignment="1" applyProtection="1">
      <alignment horizontal="justify" vertical="center"/>
      <protection locked="0"/>
    </xf>
    <xf numFmtId="0" fontId="74" fillId="0" borderId="1" xfId="0" applyFont="1" applyFill="1" applyBorder="1" applyAlignment="1" applyProtection="1">
      <alignment horizontal="left" vertical="center" wrapText="1"/>
      <protection locked="0"/>
    </xf>
    <xf numFmtId="0" fontId="74" fillId="0" borderId="1" xfId="0" applyFont="1" applyFill="1" applyBorder="1" applyAlignment="1" applyProtection="1">
      <alignment vertical="center" wrapText="1"/>
      <protection locked="0"/>
    </xf>
    <xf numFmtId="169" fontId="74" fillId="0" borderId="1" xfId="1" applyNumberFormat="1" applyFont="1" applyFill="1" applyBorder="1" applyAlignment="1" applyProtection="1">
      <alignment horizontal="center" vertical="center" wrapText="1"/>
      <protection locked="0"/>
    </xf>
    <xf numFmtId="169" fontId="74" fillId="0" borderId="1" xfId="1" applyNumberFormat="1" applyFont="1" applyFill="1" applyBorder="1" applyAlignment="1" applyProtection="1">
      <alignment horizontal="center" vertical="center"/>
      <protection locked="0"/>
    </xf>
    <xf numFmtId="169" fontId="74" fillId="0" borderId="1" xfId="0" applyNumberFormat="1" applyFont="1" applyFill="1" applyBorder="1" applyProtection="1">
      <protection locked="0"/>
    </xf>
    <xf numFmtId="169" fontId="53" fillId="0" borderId="1" xfId="1" applyNumberFormat="1" applyFont="1" applyFill="1" applyBorder="1" applyProtection="1">
      <protection locked="0"/>
    </xf>
    <xf numFmtId="0" fontId="74" fillId="0" borderId="1" xfId="0" applyNumberFormat="1" applyFont="1" applyFill="1" applyBorder="1" applyAlignment="1" applyProtection="1">
      <alignment horizontal="justify" vertical="center"/>
      <protection locked="0"/>
    </xf>
    <xf numFmtId="0" fontId="75" fillId="0" borderId="1" xfId="0" applyFont="1" applyFill="1" applyBorder="1" applyAlignment="1" applyProtection="1">
      <alignment horizontal="left" vertical="center" wrapText="1"/>
      <protection locked="0"/>
    </xf>
    <xf numFmtId="169" fontId="75" fillId="0" borderId="1" xfId="1" applyNumberFormat="1" applyFont="1" applyFill="1" applyBorder="1" applyAlignment="1" applyProtection="1">
      <alignment horizontal="center" vertical="center" wrapText="1"/>
      <protection locked="0"/>
    </xf>
    <xf numFmtId="169" fontId="75" fillId="0" borderId="1" xfId="0" applyNumberFormat="1" applyFont="1" applyFill="1" applyBorder="1" applyProtection="1">
      <protection locked="0"/>
    </xf>
    <xf numFmtId="0" fontId="76" fillId="0" borderId="1" xfId="0" applyFont="1" applyBorder="1"/>
    <xf numFmtId="0" fontId="77" fillId="18" borderId="1" xfId="8" applyFont="1" applyFill="1" applyBorder="1"/>
    <xf numFmtId="0" fontId="76" fillId="18" borderId="1" xfId="0" applyFont="1" applyFill="1" applyBorder="1"/>
    <xf numFmtId="0" fontId="77" fillId="0" borderId="1" xfId="8" applyFont="1" applyFill="1" applyBorder="1"/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10">
    <cellStyle name="Comma" xfId="1" builtinId="3"/>
    <cellStyle name="Comma 2" xfId="9"/>
    <cellStyle name="Komma 2" xfId="2"/>
    <cellStyle name="Normal" xfId="0" builtinId="0"/>
    <cellStyle name="Normal 2" xfId="7"/>
    <cellStyle name="Normal 2 2" xfId="8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179503</c:v>
                </c:pt>
                <c:pt idx="1">
                  <c:v>0</c:v>
                </c:pt>
                <c:pt idx="2">
                  <c:v>0</c:v>
                </c:pt>
                <c:pt idx="3">
                  <c:v>21298</c:v>
                </c:pt>
                <c:pt idx="4">
                  <c:v>0</c:v>
                </c:pt>
                <c:pt idx="5">
                  <c:v>0</c:v>
                </c:pt>
                <c:pt idx="6">
                  <c:v>22382</c:v>
                </c:pt>
                <c:pt idx="7">
                  <c:v>31582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151291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14002</c:v>
                </c:pt>
                <c:pt idx="19">
                  <c:v>15896</c:v>
                </c:pt>
                <c:pt idx="20">
                  <c:v>136432</c:v>
                </c:pt>
                <c:pt idx="21">
                  <c:v>30860</c:v>
                </c:pt>
                <c:pt idx="22">
                  <c:v>360479</c:v>
                </c:pt>
                <c:pt idx="23">
                  <c:v>0</c:v>
                </c:pt>
                <c:pt idx="24">
                  <c:v>143066</c:v>
                </c:pt>
                <c:pt idx="25">
                  <c:v>0</c:v>
                </c:pt>
                <c:pt idx="26">
                  <c:v>414697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179503</c:v>
                </c:pt>
                <c:pt idx="1">
                  <c:v>0</c:v>
                </c:pt>
                <c:pt idx="2">
                  <c:v>0</c:v>
                </c:pt>
                <c:pt idx="3">
                  <c:v>21298</c:v>
                </c:pt>
                <c:pt idx="4">
                  <c:v>0</c:v>
                </c:pt>
                <c:pt idx="5">
                  <c:v>0</c:v>
                </c:pt>
                <c:pt idx="6">
                  <c:v>22382</c:v>
                </c:pt>
                <c:pt idx="7">
                  <c:v>31582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151291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14002</c:v>
                </c:pt>
                <c:pt idx="19">
                  <c:v>15896</c:v>
                </c:pt>
                <c:pt idx="20">
                  <c:v>136432</c:v>
                </c:pt>
                <c:pt idx="21">
                  <c:v>30860</c:v>
                </c:pt>
                <c:pt idx="22">
                  <c:v>554706</c:v>
                </c:pt>
                <c:pt idx="23">
                  <c:v>0</c:v>
                </c:pt>
                <c:pt idx="24">
                  <c:v>143066</c:v>
                </c:pt>
                <c:pt idx="25">
                  <c:v>0</c:v>
                </c:pt>
                <c:pt idx="26">
                  <c:v>414597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179503</c:v>
                </c:pt>
                <c:pt idx="1">
                  <c:v>0</c:v>
                </c:pt>
                <c:pt idx="2">
                  <c:v>0</c:v>
                </c:pt>
                <c:pt idx="3">
                  <c:v>21298</c:v>
                </c:pt>
                <c:pt idx="4">
                  <c:v>0</c:v>
                </c:pt>
                <c:pt idx="5">
                  <c:v>0</c:v>
                </c:pt>
                <c:pt idx="6">
                  <c:v>22382</c:v>
                </c:pt>
                <c:pt idx="7">
                  <c:v>31582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151291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14002</c:v>
                </c:pt>
                <c:pt idx="19">
                  <c:v>15896</c:v>
                </c:pt>
                <c:pt idx="20">
                  <c:v>136432</c:v>
                </c:pt>
                <c:pt idx="21">
                  <c:v>30860</c:v>
                </c:pt>
                <c:pt idx="22">
                  <c:v>598734</c:v>
                </c:pt>
                <c:pt idx="23">
                  <c:v>0</c:v>
                </c:pt>
                <c:pt idx="24">
                  <c:v>143066</c:v>
                </c:pt>
                <c:pt idx="25">
                  <c:v>0</c:v>
                </c:pt>
                <c:pt idx="26">
                  <c:v>414697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215173</c:v>
                </c:pt>
                <c:pt idx="1">
                  <c:v>0</c:v>
                </c:pt>
                <c:pt idx="2">
                  <c:v>7670</c:v>
                </c:pt>
                <c:pt idx="3">
                  <c:v>31430</c:v>
                </c:pt>
                <c:pt idx="4">
                  <c:v>0</c:v>
                </c:pt>
                <c:pt idx="5">
                  <c:v>1631</c:v>
                </c:pt>
                <c:pt idx="6">
                  <c:v>17402</c:v>
                </c:pt>
                <c:pt idx="7">
                  <c:v>88487</c:v>
                </c:pt>
                <c:pt idx="8">
                  <c:v>0</c:v>
                </c:pt>
                <c:pt idx="9">
                  <c:v>23610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165101</c:v>
                </c:pt>
                <c:pt idx="15">
                  <c:v>0</c:v>
                </c:pt>
                <c:pt idx="16">
                  <c:v>11970</c:v>
                </c:pt>
                <c:pt idx="17">
                  <c:v>24530</c:v>
                </c:pt>
                <c:pt idx="18">
                  <c:v>28076</c:v>
                </c:pt>
                <c:pt idx="19">
                  <c:v>26110</c:v>
                </c:pt>
                <c:pt idx="20">
                  <c:v>157605</c:v>
                </c:pt>
                <c:pt idx="21">
                  <c:v>47632</c:v>
                </c:pt>
                <c:pt idx="22">
                  <c:v>340244</c:v>
                </c:pt>
                <c:pt idx="23">
                  <c:v>0</c:v>
                </c:pt>
                <c:pt idx="24">
                  <c:v>20100</c:v>
                </c:pt>
                <c:pt idx="25">
                  <c:v>0</c:v>
                </c:pt>
                <c:pt idx="26">
                  <c:v>530000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216173</c:v>
                </c:pt>
                <c:pt idx="1">
                  <c:v>0</c:v>
                </c:pt>
                <c:pt idx="2">
                  <c:v>7670</c:v>
                </c:pt>
                <c:pt idx="3">
                  <c:v>31430</c:v>
                </c:pt>
                <c:pt idx="4">
                  <c:v>0</c:v>
                </c:pt>
                <c:pt idx="5">
                  <c:v>1631</c:v>
                </c:pt>
                <c:pt idx="6">
                  <c:v>20402</c:v>
                </c:pt>
                <c:pt idx="7">
                  <c:v>98487</c:v>
                </c:pt>
                <c:pt idx="8">
                  <c:v>0</c:v>
                </c:pt>
                <c:pt idx="9">
                  <c:v>24610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165101</c:v>
                </c:pt>
                <c:pt idx="15">
                  <c:v>0</c:v>
                </c:pt>
                <c:pt idx="16">
                  <c:v>13970</c:v>
                </c:pt>
                <c:pt idx="17">
                  <c:v>24530</c:v>
                </c:pt>
                <c:pt idx="18">
                  <c:v>28076</c:v>
                </c:pt>
                <c:pt idx="19">
                  <c:v>26110</c:v>
                </c:pt>
                <c:pt idx="20">
                  <c:v>157605</c:v>
                </c:pt>
                <c:pt idx="21">
                  <c:v>47632</c:v>
                </c:pt>
                <c:pt idx="22">
                  <c:v>343244</c:v>
                </c:pt>
                <c:pt idx="23">
                  <c:v>0</c:v>
                </c:pt>
                <c:pt idx="24">
                  <c:v>20044</c:v>
                </c:pt>
                <c:pt idx="25">
                  <c:v>0</c:v>
                </c:pt>
                <c:pt idx="26">
                  <c:v>532000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216173</c:v>
                </c:pt>
                <c:pt idx="1">
                  <c:v>0</c:v>
                </c:pt>
                <c:pt idx="2">
                  <c:v>7670</c:v>
                </c:pt>
                <c:pt idx="3">
                  <c:v>31430</c:v>
                </c:pt>
                <c:pt idx="4">
                  <c:v>0</c:v>
                </c:pt>
                <c:pt idx="5">
                  <c:v>1631</c:v>
                </c:pt>
                <c:pt idx="6">
                  <c:v>17402</c:v>
                </c:pt>
                <c:pt idx="7">
                  <c:v>128486</c:v>
                </c:pt>
                <c:pt idx="8">
                  <c:v>0</c:v>
                </c:pt>
                <c:pt idx="9">
                  <c:v>24110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171101</c:v>
                </c:pt>
                <c:pt idx="15">
                  <c:v>0</c:v>
                </c:pt>
                <c:pt idx="16">
                  <c:v>13170</c:v>
                </c:pt>
                <c:pt idx="17">
                  <c:v>24530</c:v>
                </c:pt>
                <c:pt idx="18">
                  <c:v>28076</c:v>
                </c:pt>
                <c:pt idx="19">
                  <c:v>26110</c:v>
                </c:pt>
                <c:pt idx="20">
                  <c:v>157605</c:v>
                </c:pt>
                <c:pt idx="21">
                  <c:v>47632</c:v>
                </c:pt>
                <c:pt idx="22">
                  <c:v>340244</c:v>
                </c:pt>
                <c:pt idx="23">
                  <c:v>0</c:v>
                </c:pt>
                <c:pt idx="24">
                  <c:v>20100</c:v>
                </c:pt>
                <c:pt idx="25">
                  <c:v>0</c:v>
                </c:pt>
                <c:pt idx="26">
                  <c:v>531408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331392"/>
        <c:axId val="110332928"/>
      </c:barChart>
      <c:catAx>
        <c:axId val="1103313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10332928"/>
        <c:crosses val="autoZero"/>
        <c:auto val="1"/>
        <c:lblAlgn val="ctr"/>
        <c:lblOffset val="100"/>
        <c:noMultiLvlLbl val="0"/>
      </c:catAx>
      <c:valAx>
        <c:axId val="11033292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10331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15579</c:v>
                </c:pt>
                <c:pt idx="7">
                  <c:v>25689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18870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1371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2373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16497</c:v>
                </c:pt>
                <c:pt idx="7">
                  <c:v>53907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1389</c:v>
                </c:pt>
                <c:pt idx="19">
                  <c:v>2846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14134</c:v>
                </c:pt>
                <c:pt idx="7">
                  <c:v>88487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21828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2640</c:v>
                </c:pt>
                <c:pt idx="20">
                  <c:v>2948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14132</c:v>
                </c:pt>
                <c:pt idx="7">
                  <c:v>88487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21818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2640</c:v>
                </c:pt>
                <c:pt idx="20">
                  <c:v>2950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16632</c:v>
                </c:pt>
                <c:pt idx="7">
                  <c:v>98487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21818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2640</c:v>
                </c:pt>
                <c:pt idx="20">
                  <c:v>2950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14132</c:v>
                </c:pt>
                <c:pt idx="7">
                  <c:v>128486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25818</c:v>
                </c:pt>
                <c:pt idx="15">
                  <c:v>0</c:v>
                </c:pt>
                <c:pt idx="16">
                  <c:v>1200</c:v>
                </c:pt>
                <c:pt idx="17">
                  <c:v>0</c:v>
                </c:pt>
                <c:pt idx="18">
                  <c:v>0</c:v>
                </c:pt>
                <c:pt idx="19">
                  <c:v>2640</c:v>
                </c:pt>
                <c:pt idx="20">
                  <c:v>2950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575040"/>
        <c:axId val="111576576"/>
      </c:barChart>
      <c:catAx>
        <c:axId val="1115750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111576576"/>
        <c:crosses val="autoZero"/>
        <c:auto val="1"/>
        <c:lblAlgn val="ctr"/>
        <c:lblOffset val="100"/>
        <c:noMultiLvlLbl val="0"/>
      </c:catAx>
      <c:valAx>
        <c:axId val="11157657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11157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142260</c:v>
                </c:pt>
                <c:pt idx="1">
                  <c:v>0</c:v>
                </c:pt>
                <c:pt idx="2">
                  <c:v>0</c:v>
                </c:pt>
                <c:pt idx="3">
                  <c:v>21298</c:v>
                </c:pt>
                <c:pt idx="4">
                  <c:v>0</c:v>
                </c:pt>
                <c:pt idx="5">
                  <c:v>0</c:v>
                </c:pt>
                <c:pt idx="6">
                  <c:v>17369</c:v>
                </c:pt>
                <c:pt idx="7">
                  <c:v>28625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115169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5480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93947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22260</c:v>
                </c:pt>
                <c:pt idx="1">
                  <c:v>0</c:v>
                </c:pt>
                <c:pt idx="2">
                  <c:v>0</c:v>
                </c:pt>
                <c:pt idx="3">
                  <c:v>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115169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5480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194227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93847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22260</c:v>
                </c:pt>
                <c:pt idx="1">
                  <c:v>0</c:v>
                </c:pt>
                <c:pt idx="2">
                  <c:v>0</c:v>
                </c:pt>
                <c:pt idx="3">
                  <c:v>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115169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5480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238255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90319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215173</c:v>
                </c:pt>
                <c:pt idx="1">
                  <c:v>0</c:v>
                </c:pt>
                <c:pt idx="2">
                  <c:v>7670</c:v>
                </c:pt>
                <c:pt idx="3">
                  <c:v>31430</c:v>
                </c:pt>
                <c:pt idx="4">
                  <c:v>0</c:v>
                </c:pt>
                <c:pt idx="5">
                  <c:v>1631</c:v>
                </c:pt>
                <c:pt idx="6">
                  <c:v>17402</c:v>
                </c:pt>
                <c:pt idx="7">
                  <c:v>88487</c:v>
                </c:pt>
                <c:pt idx="8">
                  <c:v>0</c:v>
                </c:pt>
                <c:pt idx="9">
                  <c:v>23610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165101</c:v>
                </c:pt>
                <c:pt idx="15">
                  <c:v>0</c:v>
                </c:pt>
                <c:pt idx="16">
                  <c:v>11970</c:v>
                </c:pt>
                <c:pt idx="17">
                  <c:v>24530</c:v>
                </c:pt>
                <c:pt idx="18">
                  <c:v>28076</c:v>
                </c:pt>
                <c:pt idx="19">
                  <c:v>26110</c:v>
                </c:pt>
                <c:pt idx="20">
                  <c:v>157605</c:v>
                </c:pt>
                <c:pt idx="21">
                  <c:v>47632</c:v>
                </c:pt>
                <c:pt idx="22">
                  <c:v>340244</c:v>
                </c:pt>
                <c:pt idx="23">
                  <c:v>0</c:v>
                </c:pt>
                <c:pt idx="24">
                  <c:v>20100</c:v>
                </c:pt>
                <c:pt idx="25">
                  <c:v>0</c:v>
                </c:pt>
                <c:pt idx="26">
                  <c:v>530000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216173</c:v>
                </c:pt>
                <c:pt idx="1">
                  <c:v>0</c:v>
                </c:pt>
                <c:pt idx="2">
                  <c:v>7670</c:v>
                </c:pt>
                <c:pt idx="3">
                  <c:v>31430</c:v>
                </c:pt>
                <c:pt idx="4">
                  <c:v>0</c:v>
                </c:pt>
                <c:pt idx="5">
                  <c:v>1631</c:v>
                </c:pt>
                <c:pt idx="6">
                  <c:v>20402</c:v>
                </c:pt>
                <c:pt idx="7">
                  <c:v>98487</c:v>
                </c:pt>
                <c:pt idx="8">
                  <c:v>0</c:v>
                </c:pt>
                <c:pt idx="9">
                  <c:v>24610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165101</c:v>
                </c:pt>
                <c:pt idx="15">
                  <c:v>0</c:v>
                </c:pt>
                <c:pt idx="16">
                  <c:v>13970</c:v>
                </c:pt>
                <c:pt idx="17">
                  <c:v>24530</c:v>
                </c:pt>
                <c:pt idx="18">
                  <c:v>28076</c:v>
                </c:pt>
                <c:pt idx="19">
                  <c:v>26110</c:v>
                </c:pt>
                <c:pt idx="20">
                  <c:v>157605</c:v>
                </c:pt>
                <c:pt idx="21">
                  <c:v>47632</c:v>
                </c:pt>
                <c:pt idx="22">
                  <c:v>343244</c:v>
                </c:pt>
                <c:pt idx="23">
                  <c:v>0</c:v>
                </c:pt>
                <c:pt idx="24">
                  <c:v>20044</c:v>
                </c:pt>
                <c:pt idx="25">
                  <c:v>0</c:v>
                </c:pt>
                <c:pt idx="26">
                  <c:v>532000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                               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216173</c:v>
                </c:pt>
                <c:pt idx="1">
                  <c:v>0</c:v>
                </c:pt>
                <c:pt idx="2">
                  <c:v>7670</c:v>
                </c:pt>
                <c:pt idx="3">
                  <c:v>31430</c:v>
                </c:pt>
                <c:pt idx="4">
                  <c:v>0</c:v>
                </c:pt>
                <c:pt idx="5">
                  <c:v>1631</c:v>
                </c:pt>
                <c:pt idx="6">
                  <c:v>17402</c:v>
                </c:pt>
                <c:pt idx="7">
                  <c:v>128486</c:v>
                </c:pt>
                <c:pt idx="8">
                  <c:v>0</c:v>
                </c:pt>
                <c:pt idx="9">
                  <c:v>24110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171101</c:v>
                </c:pt>
                <c:pt idx="15">
                  <c:v>0</c:v>
                </c:pt>
                <c:pt idx="16">
                  <c:v>13170</c:v>
                </c:pt>
                <c:pt idx="17">
                  <c:v>24530</c:v>
                </c:pt>
                <c:pt idx="18">
                  <c:v>28076</c:v>
                </c:pt>
                <c:pt idx="19">
                  <c:v>26110</c:v>
                </c:pt>
                <c:pt idx="20">
                  <c:v>157605</c:v>
                </c:pt>
                <c:pt idx="21">
                  <c:v>47632</c:v>
                </c:pt>
                <c:pt idx="22">
                  <c:v>340244</c:v>
                </c:pt>
                <c:pt idx="23">
                  <c:v>0</c:v>
                </c:pt>
                <c:pt idx="24">
                  <c:v>20100</c:v>
                </c:pt>
                <c:pt idx="25">
                  <c:v>0</c:v>
                </c:pt>
                <c:pt idx="26">
                  <c:v>531408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34400"/>
        <c:axId val="112144384"/>
      </c:barChart>
      <c:catAx>
        <c:axId val="112134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12144384"/>
        <c:crosses val="autoZero"/>
        <c:auto val="1"/>
        <c:lblAlgn val="ctr"/>
        <c:lblOffset val="100"/>
        <c:noMultiLvlLbl val="0"/>
      </c:catAx>
      <c:valAx>
        <c:axId val="11214438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12134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179503</c:v>
                </c:pt>
                <c:pt idx="1">
                  <c:v>21298</c:v>
                </c:pt>
                <c:pt idx="2">
                  <c:v>53964</c:v>
                </c:pt>
                <c:pt idx="3">
                  <c:v>0</c:v>
                </c:pt>
                <c:pt idx="4">
                  <c:v>151291</c:v>
                </c:pt>
                <c:pt idx="5">
                  <c:v>0</c:v>
                </c:pt>
                <c:pt idx="6">
                  <c:v>29898</c:v>
                </c:pt>
                <c:pt idx="7">
                  <c:v>167292</c:v>
                </c:pt>
                <c:pt idx="8">
                  <c:v>918242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179503</c:v>
                </c:pt>
                <c:pt idx="1">
                  <c:v>21298</c:v>
                </c:pt>
                <c:pt idx="2">
                  <c:v>53964</c:v>
                </c:pt>
                <c:pt idx="3">
                  <c:v>0</c:v>
                </c:pt>
                <c:pt idx="4">
                  <c:v>151291</c:v>
                </c:pt>
                <c:pt idx="5">
                  <c:v>0</c:v>
                </c:pt>
                <c:pt idx="6">
                  <c:v>29898</c:v>
                </c:pt>
                <c:pt idx="7">
                  <c:v>167292</c:v>
                </c:pt>
                <c:pt idx="8">
                  <c:v>1112369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179503</c:v>
                </c:pt>
                <c:pt idx="1">
                  <c:v>21298</c:v>
                </c:pt>
                <c:pt idx="2">
                  <c:v>53964</c:v>
                </c:pt>
                <c:pt idx="3">
                  <c:v>0</c:v>
                </c:pt>
                <c:pt idx="4">
                  <c:v>151291</c:v>
                </c:pt>
                <c:pt idx="5">
                  <c:v>0</c:v>
                </c:pt>
                <c:pt idx="6">
                  <c:v>29898</c:v>
                </c:pt>
                <c:pt idx="7">
                  <c:v>167292</c:v>
                </c:pt>
                <c:pt idx="8">
                  <c:v>1156497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215173</c:v>
                </c:pt>
                <c:pt idx="1">
                  <c:v>39100</c:v>
                </c:pt>
                <c:pt idx="2">
                  <c:v>107520</c:v>
                </c:pt>
                <c:pt idx="3">
                  <c:v>23610</c:v>
                </c:pt>
                <c:pt idx="4">
                  <c:v>177071</c:v>
                </c:pt>
                <c:pt idx="5">
                  <c:v>24530</c:v>
                </c:pt>
                <c:pt idx="6">
                  <c:v>54186</c:v>
                </c:pt>
                <c:pt idx="7">
                  <c:v>205237</c:v>
                </c:pt>
                <c:pt idx="8">
                  <c:v>890344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216173</c:v>
                </c:pt>
                <c:pt idx="1">
                  <c:v>39100</c:v>
                </c:pt>
                <c:pt idx="2">
                  <c:v>120520</c:v>
                </c:pt>
                <c:pt idx="3">
                  <c:v>24610</c:v>
                </c:pt>
                <c:pt idx="4">
                  <c:v>179071</c:v>
                </c:pt>
                <c:pt idx="5">
                  <c:v>24530</c:v>
                </c:pt>
                <c:pt idx="6">
                  <c:v>54186</c:v>
                </c:pt>
                <c:pt idx="7">
                  <c:v>205237</c:v>
                </c:pt>
                <c:pt idx="8">
                  <c:v>895288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216173</c:v>
                </c:pt>
                <c:pt idx="1">
                  <c:v>39100</c:v>
                </c:pt>
                <c:pt idx="2">
                  <c:v>147519</c:v>
                </c:pt>
                <c:pt idx="3">
                  <c:v>24110</c:v>
                </c:pt>
                <c:pt idx="4">
                  <c:v>184271</c:v>
                </c:pt>
                <c:pt idx="5">
                  <c:v>24530</c:v>
                </c:pt>
                <c:pt idx="6">
                  <c:v>54186</c:v>
                </c:pt>
                <c:pt idx="7">
                  <c:v>205237</c:v>
                </c:pt>
                <c:pt idx="8">
                  <c:v>891752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47552"/>
        <c:axId val="112249088"/>
      </c:barChart>
      <c:catAx>
        <c:axId val="11224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112249088"/>
        <c:crosses val="autoZero"/>
        <c:auto val="1"/>
        <c:lblAlgn val="ctr"/>
        <c:lblOffset val="100"/>
        <c:noMultiLvlLbl val="0"/>
      </c:catAx>
      <c:valAx>
        <c:axId val="11224908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1224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1521488</c:v>
                </c:pt>
                <c:pt idx="1">
                  <c:v>1715615</c:v>
                </c:pt>
                <c:pt idx="2">
                  <c:v>1759743</c:v>
                </c:pt>
                <c:pt idx="3">
                  <c:v>1736771</c:v>
                </c:pt>
                <c:pt idx="4">
                  <c:v>1758715</c:v>
                </c:pt>
                <c:pt idx="5">
                  <c:v>1786878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55936"/>
        <c:axId val="113257472"/>
      </c:barChart>
      <c:catAx>
        <c:axId val="11325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13257472"/>
        <c:crosses val="autoZero"/>
        <c:auto val="1"/>
        <c:lblAlgn val="ctr"/>
        <c:lblOffset val="100"/>
        <c:noMultiLvlLbl val="0"/>
      </c:catAx>
      <c:valAx>
        <c:axId val="113257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13255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1125837</c:v>
                </c:pt>
                <c:pt idx="1">
                  <c:v>1319964</c:v>
                </c:pt>
                <c:pt idx="2">
                  <c:v>1364092</c:v>
                </c:pt>
                <c:pt idx="3">
                  <c:v>1364115</c:v>
                </c:pt>
                <c:pt idx="4">
                  <c:v>1373115</c:v>
                </c:pt>
                <c:pt idx="5">
                  <c:v>1374223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176061</c:v>
                </c:pt>
                <c:pt idx="1">
                  <c:v>176061</c:v>
                </c:pt>
                <c:pt idx="2">
                  <c:v>176061</c:v>
                </c:pt>
                <c:pt idx="3">
                  <c:v>64136</c:v>
                </c:pt>
                <c:pt idx="4">
                  <c:v>64080</c:v>
                </c:pt>
                <c:pt idx="5">
                  <c:v>64136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219590</c:v>
                </c:pt>
                <c:pt idx="1">
                  <c:v>219590</c:v>
                </c:pt>
                <c:pt idx="2">
                  <c:v>219590</c:v>
                </c:pt>
                <c:pt idx="3">
                  <c:v>308520</c:v>
                </c:pt>
                <c:pt idx="4">
                  <c:v>321520</c:v>
                </c:pt>
                <c:pt idx="5">
                  <c:v>348519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296896"/>
        <c:axId val="113298432"/>
      </c:barChart>
      <c:catAx>
        <c:axId val="11329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13298432"/>
        <c:crosses val="autoZero"/>
        <c:auto val="1"/>
        <c:lblAlgn val="ctr"/>
        <c:lblOffset val="100"/>
        <c:noMultiLvlLbl val="0"/>
      </c:catAx>
      <c:valAx>
        <c:axId val="113298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13296896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445335</c:v>
                </c:pt>
                <c:pt idx="1">
                  <c:v>447479</c:v>
                </c:pt>
                <c:pt idx="2">
                  <c:v>447985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74375</c:v>
                </c:pt>
                <c:pt idx="1">
                  <c:v>74675</c:v>
                </c:pt>
                <c:pt idx="2">
                  <c:v>75225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1083034</c:v>
                </c:pt>
                <c:pt idx="1">
                  <c:v>1087034</c:v>
                </c:pt>
                <c:pt idx="2">
                  <c:v>1084442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134027</c:v>
                </c:pt>
                <c:pt idx="1">
                  <c:v>146527</c:v>
                </c:pt>
                <c:pt idx="2">
                  <c:v>179226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3000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2908544"/>
        <c:axId val="113770496"/>
      </c:barChart>
      <c:catAx>
        <c:axId val="1129085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13770496"/>
        <c:crosses val="autoZero"/>
        <c:auto val="1"/>
        <c:lblAlgn val="ctr"/>
        <c:lblOffset val="100"/>
        <c:noMultiLvlLbl val="0"/>
      </c:catAx>
      <c:valAx>
        <c:axId val="113770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1290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445335</c:v>
                </c:pt>
                <c:pt idx="1">
                  <c:v>74375</c:v>
                </c:pt>
                <c:pt idx="2">
                  <c:v>1083034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134027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96096</c:v>
                </c:pt>
                <c:pt idx="1">
                  <c:v>66480</c:v>
                </c:pt>
                <c:pt idx="2">
                  <c:v>29616</c:v>
                </c:pt>
                <c:pt idx="3">
                  <c:v>20687</c:v>
                </c:pt>
                <c:pt idx="4">
                  <c:v>8929</c:v>
                </c:pt>
                <c:pt idx="5">
                  <c:v>8929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28384"/>
        <c:axId val="114129920"/>
      </c:barChart>
      <c:catAx>
        <c:axId val="11412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14129920"/>
        <c:crosses val="autoZero"/>
        <c:auto val="1"/>
        <c:lblAlgn val="ctr"/>
        <c:lblOffset val="100"/>
        <c:noMultiLvlLbl val="0"/>
      </c:catAx>
      <c:valAx>
        <c:axId val="1141299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14128384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0.38869000012346078</c:v>
                </c:pt>
                <c:pt idx="4">
                  <c:v>0.12569000012445031</c:v>
                </c:pt>
                <c:pt idx="5">
                  <c:v>0.98069000012401375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660672"/>
        <c:axId val="113662208"/>
      </c:barChart>
      <c:catAx>
        <c:axId val="113660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113662208"/>
        <c:crosses val="autoZero"/>
        <c:auto val="1"/>
        <c:lblAlgn val="ctr"/>
        <c:lblOffset val="100"/>
        <c:noMultiLvlLbl val="0"/>
      </c:catAx>
      <c:valAx>
        <c:axId val="11366220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13660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34" zoomScaleNormal="10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35" t="str">
        <f>'(B1)Informacion i përgjithshëm '!B12</f>
        <v xml:space="preserve">Diber </v>
      </c>
      <c r="E1" s="836"/>
      <c r="F1" s="837"/>
    </row>
    <row r="2" spans="4:9" s="6" customFormat="1" x14ac:dyDescent="0.2">
      <c r="D2" s="835" t="str">
        <f>'(B1)Informacion i përgjithshëm '!B13</f>
        <v>Lorenc CIBAKU</v>
      </c>
      <c r="E2" s="836"/>
      <c r="F2" s="837"/>
      <c r="G2" s="11"/>
      <c r="H2" s="11"/>
      <c r="I2" s="11"/>
    </row>
    <row r="3" spans="4:9" s="39" customFormat="1" ht="12.75" customHeight="1" x14ac:dyDescent="0.25">
      <c r="D3" s="835" t="str">
        <f>'(B1)Informacion i përgjithshëm '!B14</f>
        <v>Bulevardi " Elez ISUFI"</v>
      </c>
      <c r="E3" s="836"/>
      <c r="F3" s="837"/>
    </row>
    <row r="4" spans="4:9" s="39" customFormat="1" ht="12.75" customHeight="1" x14ac:dyDescent="0.25">
      <c r="D4" s="164">
        <f>'(B1)Informacion i përgjithshëm '!B15</f>
        <v>606</v>
      </c>
      <c r="E4" s="165" t="str">
        <f>'(B1)Informacion i përgjithshëm '!B16</f>
        <v xml:space="preserve">Peshkopi </v>
      </c>
      <c r="F4" s="166"/>
    </row>
    <row r="5" spans="4:9" s="40" customFormat="1" x14ac:dyDescent="0.25"/>
    <row r="20" spans="1:6" s="75" customFormat="1" ht="21" x14ac:dyDescent="0.25">
      <c r="A20" s="841" t="str">
        <f>'(G1) Fjalori'!A3</f>
        <v>(A1) PROGRAMI BUXHETOR AFATMESEM</v>
      </c>
      <c r="B20" s="842"/>
      <c r="C20" s="842"/>
      <c r="D20" s="842"/>
      <c r="E20" s="842"/>
      <c r="F20" s="843"/>
    </row>
    <row r="21" spans="1:6" s="75" customFormat="1" ht="21" x14ac:dyDescent="0.25">
      <c r="A21" s="838" t="str">
        <f>'(B1)Informacion i përgjithshëm '!B8&amp;"-"&amp;'(B1)Informacion i përgjithshëm '!B10</f>
        <v>2022-2024</v>
      </c>
      <c r="B21" s="839"/>
      <c r="C21" s="839"/>
      <c r="D21" s="839"/>
      <c r="E21" s="839"/>
      <c r="F21" s="840"/>
    </row>
    <row r="22" spans="1:6" s="75" customFormat="1" ht="21" x14ac:dyDescent="0.25">
      <c r="A22" s="828" t="str">
        <f>'(B1)Informacion i përgjithshëm '!B12</f>
        <v xml:space="preserve">Diber </v>
      </c>
      <c r="B22" s="829"/>
      <c r="C22" s="829"/>
      <c r="D22" s="829"/>
      <c r="E22" s="829"/>
      <c r="F22" s="830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26" t="str">
        <f>'(G1) Fjalori'!A4</f>
        <v>Periudha kohore</v>
      </c>
      <c r="B38" s="827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2019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2020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2021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2022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2023</v>
      </c>
      <c r="C43" s="41"/>
      <c r="D43" s="826" t="str">
        <f>'(G1) Fjalori'!A11</f>
        <v>Version</v>
      </c>
      <c r="E43" s="834"/>
      <c r="F43" s="827"/>
    </row>
    <row r="44" spans="1:6" x14ac:dyDescent="0.2">
      <c r="A44" s="159" t="str">
        <f>'(G1) Fjalori'!A10</f>
        <v>Viti t+3 (I pritur)</v>
      </c>
      <c r="B44" s="314">
        <f>'(B1)Informacion i përgjithshëm '!$B10</f>
        <v>2024</v>
      </c>
      <c r="D44" s="831" t="s">
        <v>1930</v>
      </c>
      <c r="E44" s="832"/>
      <c r="F44" s="833"/>
    </row>
  </sheetData>
  <sheetProtection algorithmName="SHA-512" hashValue="JASKakQz7fa3URxynTAQgTrhvZlqvhOSBUDRYPn+Da+TeylEbky8QPRCLF0xfsYKDN/k3aN81+YYuM0pUDzjGQ==" saltValue="YPIyeg32ozCwcKN0bGCi5A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view="pageLayout" topLeftCell="A184" zoomScaleNormal="100" workbookViewId="0">
      <selection activeCell="D67" sqref="D67:F6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90" t="str">
        <f>'(G1) Fjalori'!A324</f>
        <v>(C5) ANGAZHIMET</v>
      </c>
      <c r="B3" s="890"/>
      <c r="C3" s="890"/>
      <c r="D3" s="890"/>
      <c r="E3" s="890"/>
      <c r="F3" s="890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8" t="str">
        <f>'(B3) Struktura Funksionale'!A7</f>
        <v>Nënfunksioni 1</v>
      </c>
      <c r="B8" s="688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0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70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0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0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0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0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8" t="str">
        <f>'(B3) Struktura Funksionale'!A21</f>
        <v>Nënfunksioni 3</v>
      </c>
      <c r="B23" s="688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0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0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0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8" t="str">
        <f>'(B3) Struktura Funksionale'!A25</f>
        <v>Nënfunksioni 4</v>
      </c>
      <c r="B28" s="688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0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0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0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8" t="str">
        <f>'(B3) Struktura Funksionale'!A29</f>
        <v>Nënfunksioni 5</v>
      </c>
      <c r="B33" s="688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1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0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0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8" t="str">
        <f>'(B3) Struktura Funksionale'!A34</f>
        <v>Nënfunksioni 6</v>
      </c>
      <c r="B38" s="688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0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0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0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0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0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0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8" t="str">
        <f>'(B3) Struktura Funksionale'!A41</f>
        <v>Nënfunksioni 7</v>
      </c>
      <c r="B46" s="688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0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0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0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0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0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0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8" t="str">
        <f>'(B3) Struktura Funksionale'!A48</f>
        <v>Nënfunksioni 8</v>
      </c>
      <c r="B54" s="688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0" t="str">
        <f>'(B3) Struktura Funksionale'!B49</f>
        <v>04520</v>
      </c>
      <c r="C55" s="196" t="str">
        <f>'(B3) Struktura Funksionale'!C49</f>
        <v>Rrjeti rrugor rural</v>
      </c>
      <c r="D55" s="203"/>
      <c r="E55" s="203"/>
      <c r="F55" s="203"/>
    </row>
    <row r="56" spans="1:6" hidden="1" x14ac:dyDescent="0.2">
      <c r="A56" s="196" t="str">
        <f>'(B3) Struktura Funksionale'!A50</f>
        <v>Programi 8b</v>
      </c>
      <c r="B56" s="670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0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0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0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8" t="str">
        <f>'(B3) Struktura Funksionale'!A53</f>
        <v>Nënfunksioni 9</v>
      </c>
      <c r="B60" s="688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0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0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0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0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8" t="str">
        <f>'(B3) Struktura Funksionale'!A59</f>
        <v>Nënfunksioni 10</v>
      </c>
      <c r="B66" s="688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0" t="str">
        <f>'(B3) Struktura Funksionale'!B60</f>
        <v>05100</v>
      </c>
      <c r="C67" s="196" t="str">
        <f>'(B3) Struktura Funksionale'!C60</f>
        <v>Menaxhimi i mbetjeve</v>
      </c>
      <c r="D67" s="203"/>
      <c r="E67" s="203"/>
      <c r="F67" s="203"/>
    </row>
    <row r="68" spans="1:6" x14ac:dyDescent="0.2">
      <c r="A68" s="196" t="str">
        <f>'(B3) Struktura Funksionale'!A61</f>
        <v>Programi 10b</v>
      </c>
      <c r="B68" s="670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0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0</v>
      </c>
      <c r="E70" s="201">
        <f>SUM(E67:E69)</f>
        <v>0</v>
      </c>
      <c r="F70" s="201">
        <f>SUM(F67:F69)</f>
        <v>0</v>
      </c>
    </row>
    <row r="71" spans="1:6" ht="21" customHeight="1" x14ac:dyDescent="0.2">
      <c r="A71" s="688" t="str">
        <f>'(B3) Struktura Funksionale'!A63</f>
        <v>Nënfunksioni 11</v>
      </c>
      <c r="B71" s="688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0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0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0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8" t="str">
        <f>'(B3) Struktura Funksionale'!A67</f>
        <v>Nënfunksioni 12</v>
      </c>
      <c r="B76" s="688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0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0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0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8" t="str">
        <f>'(B3) Struktura Funksionale'!A71</f>
        <v>Nënfunksioni 13</v>
      </c>
      <c r="B81" s="688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0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0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0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8" t="str">
        <f>'(B3) Struktura Funksionale'!A76</f>
        <v>Nënfunksioni 14</v>
      </c>
      <c r="B86" s="688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0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0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0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8" t="str">
        <f>'(B3) Struktura Funksionale'!A80</f>
        <v>Nënfunksioni 15</v>
      </c>
      <c r="B91" s="688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0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0" t="str">
        <f>'(B3) Struktura Funksionale'!B82</f>
        <v>06260</v>
      </c>
      <c r="C93" s="196" t="str">
        <f>'(B3) Struktura Funksionale'!C82</f>
        <v>Sherbime publike vendore</v>
      </c>
      <c r="D93" s="51"/>
      <c r="E93" s="51"/>
      <c r="F93" s="51"/>
    </row>
    <row r="94" spans="1:6" x14ac:dyDescent="0.2">
      <c r="A94" s="196" t="str">
        <f>'(B3) Struktura Funksionale'!A83</f>
        <v>Programi 15c</v>
      </c>
      <c r="B94" s="670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0</v>
      </c>
      <c r="E95" s="201">
        <f t="shared" ref="E95:F95" si="6">SUM(E92:E94)</f>
        <v>0</v>
      </c>
      <c r="F95" s="201">
        <f t="shared" si="6"/>
        <v>0</v>
      </c>
    </row>
    <row r="96" spans="1:6" ht="22.5" customHeight="1" x14ac:dyDescent="0.2">
      <c r="A96" s="688" t="str">
        <f>'(B3) Struktura Funksionale'!A84</f>
        <v>Nënfunksioni 16</v>
      </c>
      <c r="B96" s="688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0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0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0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8" t="str">
        <f>'(B3) Struktura Funksionale'!A88</f>
        <v>Nënfunksioni 17</v>
      </c>
      <c r="B101" s="688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0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0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0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8" t="str">
        <f>'(B3) Struktura Funksionale'!A93</f>
        <v>Nënfunksioni 18</v>
      </c>
      <c r="B106" s="688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0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0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0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8" t="str">
        <f>'(B3) Struktura Funksionale'!A98</f>
        <v>Nënfunksioni 19</v>
      </c>
      <c r="B111" s="688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0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0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0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8" t="str">
        <f>'(B3) Struktura Funksionale'!A102</f>
        <v>Nënfunksioni 20</v>
      </c>
      <c r="B116" s="688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0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0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0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0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8" t="str">
        <f>'(B3) Struktura Funksionale'!A108</f>
        <v>Nënfunksioni 21</v>
      </c>
      <c r="B122" s="688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0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 x14ac:dyDescent="0.2">
      <c r="A124" s="196" t="str">
        <f>'(B3) Struktura Funksionale'!A110</f>
        <v>Programi 21b</v>
      </c>
      <c r="B124" s="670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0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0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 x14ac:dyDescent="0.2">
      <c r="A128" s="688" t="str">
        <f>'(B3) Struktura Funksionale'!A113</f>
        <v>Nënfunksioni 22</v>
      </c>
      <c r="B128" s="688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0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0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0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0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2" t="e">
        <f>'(B3) Struktura Funksionale'!A118</f>
        <v>#REF!</v>
      </c>
      <c r="B134" s="782" t="str">
        <f>'(B3) Struktura Funksionale'!B118</f>
        <v>096</v>
      </c>
      <c r="C134" s="783" t="str">
        <f>'(B3) Struktura Funksionale'!C118</f>
        <v>Shërbimet plotësuese në arsim</v>
      </c>
      <c r="D134" s="262"/>
      <c r="E134" s="262"/>
      <c r="F134" s="717"/>
    </row>
    <row r="135" spans="1:6" hidden="1" x14ac:dyDescent="0.2">
      <c r="A135" s="196" t="str">
        <f>'(B3) Struktura Funksionale'!A119</f>
        <v>Programi 23a</v>
      </c>
      <c r="B135" s="670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0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0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8" t="str">
        <f>'(B3) Struktura Funksionale'!A123</f>
        <v>Nënfunksioni 23</v>
      </c>
      <c r="B139" s="688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0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8" t="str">
        <f>'(B3) Struktura Funksionale'!A127</f>
        <v>Nënfunksioni 24</v>
      </c>
      <c r="B144" s="688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0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0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0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8" t="str">
        <f>'(B3) Struktura Funksionale'!A131</f>
        <v>Nënfunksioni 25</v>
      </c>
      <c r="B149" s="688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0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 x14ac:dyDescent="0.2">
      <c r="A151" s="196" t="str">
        <f>'(B3) Struktura Funksionale'!A133</f>
        <v>Programi 26b</v>
      </c>
      <c r="B151" s="670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0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 x14ac:dyDescent="0.2">
      <c r="A154" s="688" t="str">
        <f>'(B3) Struktura Funksionale'!A135</f>
        <v>Nënfunksioni 26</v>
      </c>
      <c r="B154" s="688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0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0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0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8" t="str">
        <f>'(B3) Struktura Funksionale'!A139</f>
        <v>Nënfunksioni 27</v>
      </c>
      <c r="B159" s="688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0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0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0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2" t="str">
        <f>'(B3) Struktura Funksionale'!A143</f>
        <v>Nënfunksioni 29</v>
      </c>
      <c r="B164" s="782" t="str">
        <f>'(B3) Struktura Funksionale'!B143</f>
        <v>107</v>
      </c>
      <c r="C164" s="783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0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0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0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0</v>
      </c>
      <c r="E170" s="76">
        <f t="shared" ref="E170" si="11">E15+E22+E27+E32+E37+E45+E53+E59+E65+E70+E75+E80+E85+E90+E95+E100+E105+E110+E115+E121+E127+E133+E138+E143+E148+E153+E158+E163+E168</f>
        <v>0</v>
      </c>
      <c r="F170" s="76">
        <f t="shared" ref="F170" si="12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Jm64Xoje+vxdujZBUxLGSNJvKu2DtsUn5WEOqS5sLrhTIeGaEkxOAhOL4upXjfaYtOuuW9W84RbI2O7eQQmFhg==" saltValue="nqjEb0yGcU2JmeIRew2KU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H104"/>
  <sheetViews>
    <sheetView topLeftCell="A85" zoomScaleNormal="100" workbookViewId="0">
      <selection activeCell="B96" sqref="B96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57" t="str">
        <f>'(G1) Fjalori'!A497</f>
        <v>(E3)LISTA EMERORE E PROJEKTEVE TE INVESTIMEVE</v>
      </c>
      <c r="B1" s="858"/>
      <c r="C1" s="858"/>
      <c r="D1" s="858"/>
      <c r="E1" s="858"/>
      <c r="F1" s="858"/>
      <c r="G1" s="858"/>
      <c r="H1" s="859"/>
    </row>
    <row r="2" spans="1:8" ht="20.25" customHeight="1" x14ac:dyDescent="0.25">
      <c r="A2" s="749" t="str">
        <f>'(G1) Fjalori'!A499</f>
        <v>Emërtimi i projektit</v>
      </c>
      <c r="B2" s="745" t="str">
        <f>'(G1) Fjalori'!A498</f>
        <v>Vlera e kontratës</v>
      </c>
      <c r="C2" s="744">
        <f>'(A1) Titulli'!B39</f>
        <v>2019</v>
      </c>
      <c r="D2" s="744">
        <f>'(A1) Titulli'!B40</f>
        <v>2020</v>
      </c>
      <c r="E2" s="744">
        <f>'(A1) Titulli'!B41</f>
        <v>2021</v>
      </c>
      <c r="F2" s="745">
        <f>'(A1) Titulli'!B42</f>
        <v>2022</v>
      </c>
      <c r="G2" s="745">
        <f>'(A1) Titulli'!B43</f>
        <v>2023</v>
      </c>
      <c r="H2" s="745">
        <f>'(A1) Titulli'!B44</f>
        <v>2024</v>
      </c>
    </row>
    <row r="3" spans="1:8" x14ac:dyDescent="0.25">
      <c r="A3" s="804" t="s">
        <v>1972</v>
      </c>
      <c r="B3" s="751">
        <v>1371</v>
      </c>
      <c r="C3" s="751">
        <v>1371</v>
      </c>
      <c r="D3" s="751"/>
      <c r="E3" s="751"/>
      <c r="F3" s="751"/>
      <c r="G3" s="751"/>
      <c r="H3" s="751"/>
    </row>
    <row r="4" spans="1:8" x14ac:dyDescent="0.25">
      <c r="A4" s="805" t="s">
        <v>1989</v>
      </c>
      <c r="B4" s="751">
        <v>1610</v>
      </c>
      <c r="C4" s="751">
        <v>1610</v>
      </c>
      <c r="D4" s="751"/>
      <c r="E4" s="751"/>
      <c r="F4" s="751"/>
      <c r="G4" s="751"/>
      <c r="H4" s="751"/>
    </row>
    <row r="5" spans="1:8" x14ac:dyDescent="0.25">
      <c r="A5" s="805" t="s">
        <v>1988</v>
      </c>
      <c r="B5" s="751">
        <v>711</v>
      </c>
      <c r="C5" s="751">
        <v>711</v>
      </c>
      <c r="D5" s="751"/>
      <c r="E5" s="751"/>
      <c r="F5" s="751"/>
      <c r="G5" s="751"/>
      <c r="H5" s="751"/>
    </row>
    <row r="6" spans="1:8" x14ac:dyDescent="0.25">
      <c r="A6" s="806" t="s">
        <v>1990</v>
      </c>
      <c r="B6" s="751">
        <v>9654</v>
      </c>
      <c r="C6" s="751">
        <v>9654</v>
      </c>
      <c r="D6" s="751"/>
      <c r="E6" s="751"/>
      <c r="F6" s="751"/>
      <c r="G6" s="751"/>
      <c r="H6" s="751"/>
    </row>
    <row r="7" spans="1:8" x14ac:dyDescent="0.25">
      <c r="A7" s="806" t="s">
        <v>1973</v>
      </c>
      <c r="B7" s="751">
        <v>1748</v>
      </c>
      <c r="C7" s="751">
        <v>1748</v>
      </c>
      <c r="D7" s="751"/>
      <c r="E7" s="751"/>
      <c r="F7" s="751"/>
      <c r="G7" s="751"/>
      <c r="H7" s="751"/>
    </row>
    <row r="8" spans="1:8" x14ac:dyDescent="0.25">
      <c r="A8" s="805" t="s">
        <v>1974</v>
      </c>
      <c r="B8" s="751">
        <v>3614</v>
      </c>
      <c r="C8" s="751">
        <v>3614</v>
      </c>
      <c r="D8" s="751"/>
      <c r="E8" s="751"/>
      <c r="F8" s="751"/>
      <c r="G8" s="751"/>
      <c r="H8" s="751"/>
    </row>
    <row r="9" spans="1:8" x14ac:dyDescent="0.25">
      <c r="A9" s="807" t="s">
        <v>1975</v>
      </c>
      <c r="B9" s="751">
        <v>2433</v>
      </c>
      <c r="C9" s="751">
        <v>2433</v>
      </c>
      <c r="D9" s="751"/>
      <c r="E9" s="751"/>
      <c r="F9" s="751"/>
      <c r="G9" s="751"/>
      <c r="H9" s="751"/>
    </row>
    <row r="10" spans="1:8" x14ac:dyDescent="0.25">
      <c r="A10" s="807" t="s">
        <v>1976</v>
      </c>
      <c r="B10" s="751">
        <v>4800</v>
      </c>
      <c r="C10" s="751">
        <v>4800</v>
      </c>
      <c r="D10" s="751"/>
      <c r="E10" s="751"/>
      <c r="F10" s="751"/>
      <c r="G10" s="751"/>
      <c r="H10" s="751"/>
    </row>
    <row r="11" spans="1:8" x14ac:dyDescent="0.25">
      <c r="A11" s="808" t="s">
        <v>1991</v>
      </c>
      <c r="B11" s="751">
        <v>1035</v>
      </c>
      <c r="C11" s="751">
        <v>1035</v>
      </c>
      <c r="D11" s="751"/>
      <c r="E11" s="751"/>
      <c r="F11" s="751"/>
      <c r="G11" s="751"/>
      <c r="H11" s="751"/>
    </row>
    <row r="12" spans="1:8" x14ac:dyDescent="0.25">
      <c r="A12" s="808" t="s">
        <v>1977</v>
      </c>
      <c r="B12" s="751">
        <v>657</v>
      </c>
      <c r="C12" s="751">
        <v>657</v>
      </c>
      <c r="D12" s="751"/>
      <c r="E12" s="751"/>
      <c r="F12" s="751"/>
      <c r="G12" s="751"/>
      <c r="H12" s="751"/>
    </row>
    <row r="13" spans="1:8" x14ac:dyDescent="0.25">
      <c r="A13" s="809" t="s">
        <v>1976</v>
      </c>
      <c r="B13" s="751">
        <v>2400</v>
      </c>
      <c r="C13" s="751">
        <v>2400</v>
      </c>
      <c r="D13" s="751"/>
      <c r="E13" s="751"/>
      <c r="F13" s="751"/>
      <c r="G13" s="751"/>
      <c r="H13" s="751"/>
    </row>
    <row r="14" spans="1:8" x14ac:dyDescent="0.25">
      <c r="A14" s="808" t="s">
        <v>1978</v>
      </c>
      <c r="B14" s="751">
        <v>1100</v>
      </c>
      <c r="C14" s="751">
        <v>1100</v>
      </c>
      <c r="D14" s="751"/>
      <c r="E14" s="751"/>
      <c r="F14" s="751"/>
      <c r="G14" s="751"/>
      <c r="H14" s="751"/>
    </row>
    <row r="15" spans="1:8" x14ac:dyDescent="0.25">
      <c r="A15" s="806" t="s">
        <v>1976</v>
      </c>
      <c r="B15" s="751">
        <v>1762</v>
      </c>
      <c r="C15" s="751">
        <v>1762</v>
      </c>
      <c r="D15" s="751"/>
      <c r="E15" s="751"/>
      <c r="F15" s="751"/>
      <c r="G15" s="751"/>
      <c r="H15" s="751"/>
    </row>
    <row r="16" spans="1:8" x14ac:dyDescent="0.25">
      <c r="A16" s="804" t="s">
        <v>1979</v>
      </c>
      <c r="B16" s="751">
        <v>889</v>
      </c>
      <c r="C16" s="751">
        <v>889</v>
      </c>
      <c r="D16" s="751"/>
      <c r="E16" s="751"/>
      <c r="F16" s="751"/>
      <c r="G16" s="751"/>
      <c r="H16" s="751"/>
    </row>
    <row r="17" spans="1:8" x14ac:dyDescent="0.25">
      <c r="A17" s="806" t="s">
        <v>1980</v>
      </c>
      <c r="B17" s="751">
        <v>3329</v>
      </c>
      <c r="C17" s="751">
        <v>3329</v>
      </c>
      <c r="D17" s="751"/>
      <c r="E17" s="751"/>
      <c r="F17" s="751"/>
      <c r="G17" s="751"/>
      <c r="H17" s="751"/>
    </row>
    <row r="18" spans="1:8" ht="25.5" x14ac:dyDescent="0.25">
      <c r="A18" s="810" t="s">
        <v>1981</v>
      </c>
      <c r="B18" s="751">
        <f>6694-34</f>
        <v>6660</v>
      </c>
      <c r="C18" s="751">
        <f>6694-34</f>
        <v>6660</v>
      </c>
      <c r="D18" s="751"/>
      <c r="E18" s="751"/>
      <c r="F18" s="751"/>
      <c r="G18" s="751"/>
      <c r="H18" s="751"/>
    </row>
    <row r="19" spans="1:8" x14ac:dyDescent="0.25">
      <c r="A19" s="810" t="s">
        <v>1982</v>
      </c>
      <c r="B19" s="751">
        <v>7074</v>
      </c>
      <c r="C19" s="751">
        <v>7074</v>
      </c>
      <c r="D19" s="751"/>
      <c r="E19" s="751"/>
      <c r="F19" s="751"/>
      <c r="G19" s="751"/>
      <c r="H19" s="751"/>
    </row>
    <row r="20" spans="1:8" x14ac:dyDescent="0.25">
      <c r="A20" s="806" t="s">
        <v>1992</v>
      </c>
      <c r="B20" s="751">
        <v>554</v>
      </c>
      <c r="C20" s="751">
        <v>554</v>
      </c>
      <c r="D20" s="751"/>
      <c r="E20" s="751"/>
      <c r="F20" s="751"/>
      <c r="G20" s="751"/>
      <c r="H20" s="751"/>
    </row>
    <row r="21" spans="1:8" x14ac:dyDescent="0.25">
      <c r="A21" s="806" t="s">
        <v>1983</v>
      </c>
      <c r="B21" s="751">
        <v>2580</v>
      </c>
      <c r="C21" s="751">
        <v>2580</v>
      </c>
      <c r="D21" s="751"/>
      <c r="E21" s="751"/>
      <c r="F21" s="751"/>
      <c r="G21" s="751"/>
      <c r="H21" s="751"/>
    </row>
    <row r="22" spans="1:8" x14ac:dyDescent="0.25">
      <c r="A22" s="806" t="s">
        <v>1984</v>
      </c>
      <c r="B22" s="751">
        <v>697</v>
      </c>
      <c r="C22" s="751">
        <v>697</v>
      </c>
      <c r="D22" s="751"/>
      <c r="E22" s="751"/>
      <c r="F22" s="751"/>
      <c r="G22" s="751"/>
      <c r="H22" s="751"/>
    </row>
    <row r="23" spans="1:8" x14ac:dyDescent="0.25">
      <c r="A23" s="806" t="s">
        <v>1985</v>
      </c>
      <c r="B23" s="751">
        <v>4119</v>
      </c>
      <c r="C23" s="751">
        <v>4119</v>
      </c>
      <c r="D23" s="751"/>
      <c r="E23" s="751"/>
      <c r="F23" s="751"/>
      <c r="G23" s="751"/>
      <c r="H23" s="751"/>
    </row>
    <row r="24" spans="1:8" x14ac:dyDescent="0.25">
      <c r="A24" s="806" t="s">
        <v>1986</v>
      </c>
      <c r="B24" s="751">
        <v>612</v>
      </c>
      <c r="C24" s="751">
        <v>612</v>
      </c>
      <c r="D24" s="751"/>
      <c r="E24" s="751"/>
      <c r="F24" s="751"/>
      <c r="G24" s="751"/>
      <c r="H24" s="751"/>
    </row>
    <row r="25" spans="1:8" x14ac:dyDescent="0.25">
      <c r="A25" s="806" t="s">
        <v>1987</v>
      </c>
      <c r="B25" s="751">
        <v>2100</v>
      </c>
      <c r="C25" s="751">
        <v>2100</v>
      </c>
      <c r="D25" s="751"/>
      <c r="E25" s="751"/>
      <c r="F25" s="751"/>
      <c r="G25" s="751"/>
      <c r="H25" s="751"/>
    </row>
    <row r="26" spans="1:8" ht="15.75" x14ac:dyDescent="0.25">
      <c r="A26" s="825" t="s">
        <v>2008</v>
      </c>
      <c r="B26" s="751">
        <v>9230</v>
      </c>
      <c r="C26" s="751"/>
      <c r="D26" s="751">
        <v>9230</v>
      </c>
      <c r="E26" s="751"/>
      <c r="F26" s="751"/>
      <c r="G26" s="751"/>
      <c r="H26" s="751"/>
    </row>
    <row r="27" spans="1:8" ht="15.75" x14ac:dyDescent="0.25">
      <c r="A27" s="822" t="s">
        <v>2030</v>
      </c>
      <c r="B27" s="751">
        <v>1445</v>
      </c>
      <c r="C27" s="751"/>
      <c r="D27" s="751">
        <v>1445</v>
      </c>
      <c r="E27" s="751"/>
      <c r="F27" s="751"/>
      <c r="G27" s="751"/>
      <c r="H27" s="751"/>
    </row>
    <row r="28" spans="1:8" ht="15.75" x14ac:dyDescent="0.25">
      <c r="A28" s="822" t="s">
        <v>2031</v>
      </c>
      <c r="B28" s="751">
        <v>3800</v>
      </c>
      <c r="C28" s="751"/>
      <c r="D28" s="751">
        <v>3800</v>
      </c>
      <c r="E28" s="751"/>
      <c r="F28" s="751"/>
      <c r="G28" s="751"/>
      <c r="H28" s="751"/>
    </row>
    <row r="29" spans="1:8" ht="15.75" x14ac:dyDescent="0.25">
      <c r="A29" s="823" t="s">
        <v>2032</v>
      </c>
      <c r="B29" s="751">
        <v>3000</v>
      </c>
      <c r="C29" s="751"/>
      <c r="D29" s="751">
        <v>3000</v>
      </c>
      <c r="E29" s="751"/>
      <c r="F29" s="751"/>
      <c r="G29" s="751"/>
      <c r="H29" s="751"/>
    </row>
    <row r="30" spans="1:8" ht="15.75" x14ac:dyDescent="0.25">
      <c r="A30" s="823" t="s">
        <v>2033</v>
      </c>
      <c r="B30" s="751">
        <v>17013</v>
      </c>
      <c r="C30" s="751"/>
      <c r="D30" s="751">
        <v>17013</v>
      </c>
      <c r="E30" s="751"/>
      <c r="F30" s="751"/>
      <c r="G30" s="751"/>
      <c r="H30" s="751"/>
    </row>
    <row r="31" spans="1:8" ht="15.75" x14ac:dyDescent="0.25">
      <c r="A31" s="822" t="s">
        <v>2034</v>
      </c>
      <c r="B31" s="751">
        <v>4958</v>
      </c>
      <c r="C31" s="751"/>
      <c r="D31" s="751">
        <v>4958</v>
      </c>
      <c r="E31" s="751"/>
      <c r="F31" s="751"/>
      <c r="G31" s="751"/>
      <c r="H31" s="751"/>
    </row>
    <row r="32" spans="1:8" ht="15.75" x14ac:dyDescent="0.25">
      <c r="A32" s="824" t="s">
        <v>2035</v>
      </c>
      <c r="B32" s="751">
        <v>6220</v>
      </c>
      <c r="C32" s="751"/>
      <c r="D32" s="751">
        <v>6220</v>
      </c>
      <c r="E32" s="751"/>
      <c r="F32" s="751"/>
      <c r="G32" s="751"/>
      <c r="H32" s="751"/>
    </row>
    <row r="33" spans="1:8" ht="15.75" x14ac:dyDescent="0.25">
      <c r="A33" s="824" t="s">
        <v>2036</v>
      </c>
      <c r="B33" s="751">
        <v>2000</v>
      </c>
      <c r="C33" s="751"/>
      <c r="D33" s="751">
        <v>2000</v>
      </c>
      <c r="E33" s="751"/>
      <c r="F33" s="751"/>
      <c r="G33" s="751"/>
      <c r="H33" s="751"/>
    </row>
    <row r="34" spans="1:8" ht="15.75" x14ac:dyDescent="0.25">
      <c r="A34" s="824" t="s">
        <v>2033</v>
      </c>
      <c r="B34" s="751">
        <v>6522</v>
      </c>
      <c r="C34" s="751"/>
      <c r="D34" s="751">
        <v>6522</v>
      </c>
      <c r="E34" s="751"/>
      <c r="F34" s="751"/>
      <c r="G34" s="751"/>
      <c r="H34" s="751"/>
    </row>
    <row r="35" spans="1:8" ht="15.75" x14ac:dyDescent="0.25">
      <c r="A35" s="824" t="s">
        <v>2033</v>
      </c>
      <c r="B35" s="751">
        <v>8082</v>
      </c>
      <c r="C35" s="751"/>
      <c r="D35" s="751">
        <v>8082</v>
      </c>
      <c r="E35" s="751"/>
      <c r="F35" s="751"/>
      <c r="G35" s="751"/>
      <c r="H35" s="751"/>
    </row>
    <row r="36" spans="1:8" ht="15.75" x14ac:dyDescent="0.25">
      <c r="A36" s="824" t="s">
        <v>2035</v>
      </c>
      <c r="B36" s="751">
        <v>2746</v>
      </c>
      <c r="C36" s="751"/>
      <c r="D36" s="751">
        <v>2746</v>
      </c>
      <c r="E36" s="751"/>
      <c r="F36" s="751"/>
      <c r="G36" s="751"/>
      <c r="H36" s="751"/>
    </row>
    <row r="37" spans="1:8" ht="15.75" x14ac:dyDescent="0.25">
      <c r="A37" s="823" t="s">
        <v>2037</v>
      </c>
      <c r="B37" s="751">
        <v>1000</v>
      </c>
      <c r="C37" s="751"/>
      <c r="D37" s="751">
        <v>1000</v>
      </c>
      <c r="E37" s="751"/>
      <c r="F37" s="751"/>
      <c r="G37" s="751"/>
      <c r="H37" s="751"/>
    </row>
    <row r="38" spans="1:8" ht="15.75" x14ac:dyDescent="0.25">
      <c r="A38" s="824" t="s">
        <v>2038</v>
      </c>
      <c r="B38" s="751">
        <v>1000</v>
      </c>
      <c r="C38" s="751"/>
      <c r="D38" s="751">
        <v>1000</v>
      </c>
      <c r="E38" s="751"/>
      <c r="F38" s="751"/>
      <c r="G38" s="751"/>
      <c r="H38" s="751"/>
    </row>
    <row r="39" spans="1:8" ht="15.75" x14ac:dyDescent="0.25">
      <c r="A39" s="823" t="s">
        <v>2039</v>
      </c>
      <c r="B39" s="751">
        <v>12426</v>
      </c>
      <c r="C39" s="751"/>
      <c r="D39" s="751">
        <v>12426</v>
      </c>
      <c r="E39" s="751"/>
      <c r="F39" s="751"/>
      <c r="G39" s="751"/>
      <c r="H39" s="751"/>
    </row>
    <row r="40" spans="1:8" ht="27" x14ac:dyDescent="0.25">
      <c r="A40" s="811" t="s">
        <v>1993</v>
      </c>
      <c r="B40" s="814">
        <v>19127</v>
      </c>
      <c r="C40" s="751"/>
      <c r="D40" s="751"/>
      <c r="E40" s="816">
        <v>827</v>
      </c>
      <c r="F40" s="751"/>
      <c r="G40" s="751"/>
      <c r="H40" s="751"/>
    </row>
    <row r="41" spans="1:8" ht="27" x14ac:dyDescent="0.25">
      <c r="A41" s="812" t="s">
        <v>1994</v>
      </c>
      <c r="B41" s="814">
        <v>20212</v>
      </c>
      <c r="C41" s="751"/>
      <c r="D41" s="751"/>
      <c r="E41" s="817">
        <v>2669</v>
      </c>
      <c r="F41" s="751"/>
      <c r="G41" s="751"/>
      <c r="H41" s="751"/>
    </row>
    <row r="42" spans="1:8" x14ac:dyDescent="0.25">
      <c r="A42" s="813" t="s">
        <v>1995</v>
      </c>
      <c r="B42" s="814">
        <v>54198</v>
      </c>
      <c r="C42" s="751"/>
      <c r="D42" s="751"/>
      <c r="E42" s="816">
        <f>D42</f>
        <v>0</v>
      </c>
      <c r="F42" s="751"/>
      <c r="G42" s="751"/>
      <c r="H42" s="751"/>
    </row>
    <row r="43" spans="1:8" ht="27" x14ac:dyDescent="0.25">
      <c r="A43" s="811" t="s">
        <v>1996</v>
      </c>
      <c r="B43" s="815">
        <v>3948</v>
      </c>
      <c r="C43" s="751"/>
      <c r="D43" s="751"/>
      <c r="E43" s="816">
        <v>3948</v>
      </c>
      <c r="F43" s="751"/>
      <c r="G43" s="751"/>
      <c r="H43" s="751"/>
    </row>
    <row r="44" spans="1:8" ht="27" x14ac:dyDescent="0.25">
      <c r="A44" s="812" t="s">
        <v>1997</v>
      </c>
      <c r="B44" s="814">
        <v>9762</v>
      </c>
      <c r="C44" s="751"/>
      <c r="D44" s="751"/>
      <c r="E44" s="816">
        <v>9762</v>
      </c>
      <c r="F44" s="751"/>
      <c r="G44" s="751"/>
      <c r="H44" s="751"/>
    </row>
    <row r="45" spans="1:8" ht="27" x14ac:dyDescent="0.25">
      <c r="A45" s="811" t="s">
        <v>1998</v>
      </c>
      <c r="B45" s="815">
        <v>1140</v>
      </c>
      <c r="C45" s="751"/>
      <c r="D45" s="751"/>
      <c r="E45" s="816">
        <v>140</v>
      </c>
      <c r="F45" s="751"/>
      <c r="G45" s="751"/>
      <c r="H45" s="751"/>
    </row>
    <row r="46" spans="1:8" ht="27" x14ac:dyDescent="0.25">
      <c r="A46" s="819" t="s">
        <v>2023</v>
      </c>
      <c r="B46" s="820">
        <v>9000</v>
      </c>
      <c r="C46" s="751"/>
      <c r="D46" s="751"/>
      <c r="E46" s="820">
        <f>305+3000</f>
        <v>3305</v>
      </c>
      <c r="F46" s="751"/>
      <c r="G46" s="751"/>
      <c r="H46" s="751"/>
    </row>
    <row r="47" spans="1:8" ht="27" x14ac:dyDescent="0.25">
      <c r="A47" s="812" t="s">
        <v>2024</v>
      </c>
      <c r="B47" s="814">
        <v>10000</v>
      </c>
      <c r="C47" s="751"/>
      <c r="D47" s="751"/>
      <c r="E47" s="814">
        <v>4500</v>
      </c>
      <c r="F47" s="751"/>
      <c r="G47" s="751"/>
      <c r="H47" s="751"/>
    </row>
    <row r="48" spans="1:8" x14ac:dyDescent="0.25">
      <c r="A48" s="819" t="s">
        <v>2021</v>
      </c>
      <c r="B48" s="820">
        <v>4000</v>
      </c>
      <c r="C48" s="751"/>
      <c r="D48" s="751"/>
      <c r="E48" s="820">
        <v>4000</v>
      </c>
      <c r="F48" s="751"/>
      <c r="G48" s="751"/>
      <c r="H48" s="751"/>
    </row>
    <row r="49" spans="1:8" x14ac:dyDescent="0.25">
      <c r="A49" s="819" t="s">
        <v>2022</v>
      </c>
      <c r="B49" s="820">
        <v>2000</v>
      </c>
      <c r="C49" s="751"/>
      <c r="D49" s="751"/>
      <c r="E49" s="820">
        <v>2000</v>
      </c>
      <c r="F49" s="751"/>
      <c r="G49" s="751"/>
      <c r="H49" s="751"/>
    </row>
    <row r="50" spans="1:8" x14ac:dyDescent="0.25">
      <c r="A50" s="812" t="s">
        <v>2025</v>
      </c>
      <c r="B50" s="814">
        <v>15309</v>
      </c>
      <c r="C50" s="751"/>
      <c r="D50" s="751"/>
      <c r="E50" s="814">
        <v>3061</v>
      </c>
      <c r="F50" s="751"/>
      <c r="G50" s="751"/>
      <c r="H50" s="751"/>
    </row>
    <row r="51" spans="1:8" ht="27" x14ac:dyDescent="0.25">
      <c r="A51" s="812" t="s">
        <v>2026</v>
      </c>
      <c r="B51" s="814">
        <v>29407</v>
      </c>
      <c r="C51" s="751"/>
      <c r="D51" s="751"/>
      <c r="E51" s="814">
        <f>7164-2830</f>
        <v>4334</v>
      </c>
      <c r="F51" s="751"/>
      <c r="G51" s="751"/>
      <c r="H51" s="751"/>
    </row>
    <row r="52" spans="1:8" ht="27" x14ac:dyDescent="0.25">
      <c r="A52" s="812" t="s">
        <v>2027</v>
      </c>
      <c r="B52" s="814">
        <v>17243</v>
      </c>
      <c r="C52" s="751"/>
      <c r="D52" s="751"/>
      <c r="E52" s="814">
        <v>230</v>
      </c>
      <c r="F52" s="751"/>
      <c r="G52" s="751"/>
      <c r="H52" s="751"/>
    </row>
    <row r="53" spans="1:8" x14ac:dyDescent="0.25">
      <c r="A53" s="812" t="s">
        <v>2028</v>
      </c>
      <c r="B53" s="814">
        <v>19644</v>
      </c>
      <c r="C53" s="751"/>
      <c r="D53" s="751"/>
      <c r="E53" s="814">
        <f>2928-500</f>
        <v>2428</v>
      </c>
      <c r="F53" s="751"/>
      <c r="G53" s="751"/>
      <c r="H53" s="751"/>
    </row>
    <row r="54" spans="1:8" x14ac:dyDescent="0.25">
      <c r="A54" s="812" t="s">
        <v>2029</v>
      </c>
      <c r="B54" s="814">
        <v>27871</v>
      </c>
      <c r="C54" s="751"/>
      <c r="D54" s="751"/>
      <c r="E54" s="814">
        <v>3574</v>
      </c>
      <c r="F54" s="751"/>
      <c r="G54" s="751"/>
      <c r="H54" s="751"/>
    </row>
    <row r="55" spans="1:8" x14ac:dyDescent="0.25">
      <c r="A55" s="811" t="s">
        <v>1999</v>
      </c>
      <c r="B55" s="815">
        <v>99</v>
      </c>
      <c r="C55" s="751"/>
      <c r="D55" s="751"/>
      <c r="E55" s="816">
        <v>99</v>
      </c>
      <c r="F55" s="751"/>
      <c r="G55" s="751"/>
      <c r="H55" s="751"/>
    </row>
    <row r="56" spans="1:8" x14ac:dyDescent="0.25">
      <c r="A56" s="812" t="s">
        <v>2000</v>
      </c>
      <c r="B56" s="814">
        <v>358</v>
      </c>
      <c r="C56" s="751"/>
      <c r="D56" s="751"/>
      <c r="E56" s="816">
        <v>358</v>
      </c>
      <c r="F56" s="751"/>
      <c r="G56" s="751"/>
      <c r="H56" s="751"/>
    </row>
    <row r="57" spans="1:8" ht="27" x14ac:dyDescent="0.25">
      <c r="A57" s="811" t="s">
        <v>2001</v>
      </c>
      <c r="B57" s="814">
        <v>448</v>
      </c>
      <c r="C57" s="751"/>
      <c r="D57" s="751"/>
      <c r="E57" s="816">
        <v>448</v>
      </c>
      <c r="F57" s="751"/>
      <c r="G57" s="751"/>
      <c r="H57" s="751"/>
    </row>
    <row r="58" spans="1:8" x14ac:dyDescent="0.25">
      <c r="A58" s="812" t="s">
        <v>2002</v>
      </c>
      <c r="B58" s="814">
        <v>960</v>
      </c>
      <c r="C58" s="751"/>
      <c r="D58" s="751"/>
      <c r="E58" s="816">
        <v>902</v>
      </c>
      <c r="F58" s="751"/>
      <c r="G58" s="751"/>
      <c r="H58" s="751"/>
    </row>
    <row r="59" spans="1:8" ht="27" x14ac:dyDescent="0.25">
      <c r="A59" s="811" t="s">
        <v>2003</v>
      </c>
      <c r="B59" s="815">
        <v>127</v>
      </c>
      <c r="C59" s="751"/>
      <c r="D59" s="751"/>
      <c r="E59" s="816">
        <v>127</v>
      </c>
      <c r="F59" s="751"/>
      <c r="G59" s="751"/>
      <c r="H59" s="751"/>
    </row>
    <row r="60" spans="1:8" ht="27" x14ac:dyDescent="0.25">
      <c r="A60" s="812" t="s">
        <v>2004</v>
      </c>
      <c r="B60" s="814">
        <v>227</v>
      </c>
      <c r="C60" s="751"/>
      <c r="D60" s="751"/>
      <c r="E60" s="816">
        <v>227</v>
      </c>
      <c r="F60" s="751"/>
      <c r="G60" s="751"/>
      <c r="H60" s="751"/>
    </row>
    <row r="61" spans="1:8" x14ac:dyDescent="0.25">
      <c r="A61" s="819" t="s">
        <v>2021</v>
      </c>
      <c r="B61" s="820">
        <v>4000</v>
      </c>
      <c r="C61" s="751"/>
      <c r="D61" s="751"/>
      <c r="E61" s="820">
        <v>4000</v>
      </c>
      <c r="F61" s="751"/>
      <c r="G61" s="751"/>
      <c r="H61" s="751"/>
    </row>
    <row r="62" spans="1:8" x14ac:dyDescent="0.25">
      <c r="A62" s="819" t="s">
        <v>2022</v>
      </c>
      <c r="B62" s="820">
        <v>2000</v>
      </c>
      <c r="C62" s="751"/>
      <c r="D62" s="751"/>
      <c r="E62" s="820">
        <v>2000</v>
      </c>
      <c r="F62" s="751"/>
      <c r="G62" s="751"/>
      <c r="H62" s="751"/>
    </row>
    <row r="63" spans="1:8" ht="27" x14ac:dyDescent="0.25">
      <c r="A63" s="812" t="s">
        <v>2005</v>
      </c>
      <c r="B63" s="814">
        <v>100</v>
      </c>
      <c r="C63" s="751"/>
      <c r="D63" s="751"/>
      <c r="E63" s="816">
        <v>100</v>
      </c>
      <c r="F63" s="751"/>
      <c r="G63" s="751"/>
      <c r="H63" s="751"/>
    </row>
    <row r="64" spans="1:8" ht="27" x14ac:dyDescent="0.25">
      <c r="A64" s="812" t="s">
        <v>2006</v>
      </c>
      <c r="B64" s="814">
        <v>78</v>
      </c>
      <c r="C64" s="751"/>
      <c r="D64" s="751"/>
      <c r="E64" s="816">
        <v>78</v>
      </c>
      <c r="F64" s="751"/>
      <c r="G64" s="751"/>
      <c r="H64" s="751"/>
    </row>
    <row r="65" spans="1:8" ht="27" x14ac:dyDescent="0.25">
      <c r="A65" s="812" t="s">
        <v>2007</v>
      </c>
      <c r="B65" s="814">
        <v>319</v>
      </c>
      <c r="C65" s="751"/>
      <c r="D65" s="751"/>
      <c r="E65" s="816">
        <v>319</v>
      </c>
      <c r="F65" s="751"/>
      <c r="G65" s="751"/>
      <c r="H65" s="751"/>
    </row>
    <row r="66" spans="1:8" x14ac:dyDescent="0.25">
      <c r="A66" s="812" t="s">
        <v>2008</v>
      </c>
      <c r="B66" s="814">
        <v>26302</v>
      </c>
      <c r="C66" s="751"/>
      <c r="D66" s="751"/>
      <c r="E66" s="816">
        <v>18500</v>
      </c>
      <c r="F66" s="751"/>
      <c r="G66" s="751"/>
      <c r="H66" s="751"/>
    </row>
    <row r="67" spans="1:8" x14ac:dyDescent="0.25">
      <c r="A67" s="812" t="s">
        <v>2009</v>
      </c>
      <c r="B67" s="814">
        <v>245</v>
      </c>
      <c r="C67" s="751"/>
      <c r="D67" s="751"/>
      <c r="E67" s="816">
        <v>245</v>
      </c>
      <c r="F67" s="751"/>
      <c r="G67" s="751"/>
      <c r="H67" s="751"/>
    </row>
    <row r="68" spans="1:8" ht="27" x14ac:dyDescent="0.25">
      <c r="A68" s="818" t="s">
        <v>2010</v>
      </c>
      <c r="B68" s="815">
        <v>230</v>
      </c>
      <c r="C68" s="751"/>
      <c r="D68" s="751"/>
      <c r="E68" s="816">
        <v>230</v>
      </c>
      <c r="F68" s="751"/>
      <c r="G68" s="751"/>
      <c r="H68" s="751"/>
    </row>
    <row r="69" spans="1:8" ht="27" x14ac:dyDescent="0.25">
      <c r="A69" s="812" t="s">
        <v>2011</v>
      </c>
      <c r="B69" s="814">
        <v>115</v>
      </c>
      <c r="C69" s="751"/>
      <c r="D69" s="751"/>
      <c r="E69" s="816">
        <v>115</v>
      </c>
      <c r="F69" s="751"/>
      <c r="G69" s="751"/>
      <c r="H69" s="751"/>
    </row>
    <row r="70" spans="1:8" ht="27" x14ac:dyDescent="0.25">
      <c r="A70" s="812" t="s">
        <v>2012</v>
      </c>
      <c r="B70" s="814">
        <v>223</v>
      </c>
      <c r="C70" s="751"/>
      <c r="D70" s="751"/>
      <c r="E70" s="816">
        <v>223</v>
      </c>
      <c r="F70" s="751"/>
      <c r="G70" s="751"/>
      <c r="H70" s="751"/>
    </row>
    <row r="71" spans="1:8" ht="27" x14ac:dyDescent="0.25">
      <c r="A71" s="812" t="s">
        <v>2013</v>
      </c>
      <c r="B71" s="814">
        <v>8461</v>
      </c>
      <c r="C71" s="751"/>
      <c r="D71" s="751"/>
      <c r="E71" s="816">
        <v>4409</v>
      </c>
      <c r="F71" s="751"/>
      <c r="G71" s="751"/>
      <c r="H71" s="751"/>
    </row>
    <row r="72" spans="1:8" ht="27" x14ac:dyDescent="0.25">
      <c r="A72" s="812" t="s">
        <v>2014</v>
      </c>
      <c r="B72" s="814">
        <v>155</v>
      </c>
      <c r="C72" s="751"/>
      <c r="D72" s="751"/>
      <c r="E72" s="816">
        <v>155</v>
      </c>
      <c r="F72" s="751"/>
      <c r="G72" s="751"/>
      <c r="H72" s="751"/>
    </row>
    <row r="73" spans="1:8" ht="27" x14ac:dyDescent="0.25">
      <c r="A73" s="812" t="s">
        <v>2015</v>
      </c>
      <c r="B73" s="814">
        <v>272</v>
      </c>
      <c r="C73" s="751"/>
      <c r="D73" s="751"/>
      <c r="E73" s="814">
        <v>272</v>
      </c>
      <c r="F73" s="751"/>
      <c r="G73" s="751"/>
      <c r="H73" s="751"/>
    </row>
    <row r="74" spans="1:8" ht="27" x14ac:dyDescent="0.25">
      <c r="A74" s="812" t="s">
        <v>2016</v>
      </c>
      <c r="B74" s="814">
        <v>125</v>
      </c>
      <c r="C74" s="751"/>
      <c r="D74" s="751"/>
      <c r="E74" s="814">
        <v>125</v>
      </c>
      <c r="F74" s="751"/>
      <c r="G74" s="751"/>
      <c r="H74" s="751"/>
    </row>
    <row r="75" spans="1:8" x14ac:dyDescent="0.25">
      <c r="A75" s="819" t="s">
        <v>2017</v>
      </c>
      <c r="B75" s="820">
        <v>52000</v>
      </c>
      <c r="C75" s="751"/>
      <c r="D75" s="751"/>
      <c r="E75" s="821">
        <f>12000+30569</f>
        <v>42569</v>
      </c>
      <c r="F75" s="751"/>
      <c r="G75" s="751"/>
      <c r="H75" s="751"/>
    </row>
    <row r="76" spans="1:8" x14ac:dyDescent="0.25">
      <c r="A76" s="812" t="s">
        <v>2018</v>
      </c>
      <c r="B76" s="814">
        <v>5000</v>
      </c>
      <c r="C76" s="751"/>
      <c r="D76" s="751"/>
      <c r="E76" s="814">
        <f>3700+1000</f>
        <v>4700</v>
      </c>
      <c r="F76" s="751"/>
      <c r="G76" s="751"/>
      <c r="H76" s="751"/>
    </row>
    <row r="77" spans="1:8" x14ac:dyDescent="0.25">
      <c r="A77" s="812" t="s">
        <v>2019</v>
      </c>
      <c r="B77" s="814">
        <v>22917</v>
      </c>
      <c r="C77" s="751"/>
      <c r="D77" s="751"/>
      <c r="E77" s="814">
        <v>4000</v>
      </c>
      <c r="F77" s="751"/>
      <c r="G77" s="751"/>
      <c r="H77" s="751"/>
    </row>
    <row r="78" spans="1:8" x14ac:dyDescent="0.25">
      <c r="A78" s="812" t="s">
        <v>2020</v>
      </c>
      <c r="B78" s="814">
        <v>8500</v>
      </c>
      <c r="C78" s="751"/>
      <c r="D78" s="751"/>
      <c r="E78" s="814">
        <f>4530+528</f>
        <v>5058</v>
      </c>
      <c r="F78" s="751"/>
      <c r="G78" s="751"/>
      <c r="H78" s="751"/>
    </row>
    <row r="79" spans="1:8" ht="27" x14ac:dyDescent="0.25">
      <c r="A79" s="812" t="s">
        <v>2026</v>
      </c>
      <c r="B79" s="814"/>
      <c r="C79" s="751"/>
      <c r="D79" s="751"/>
      <c r="E79" s="816"/>
      <c r="F79" s="751">
        <v>25073</v>
      </c>
      <c r="G79" s="751"/>
      <c r="H79" s="751"/>
    </row>
    <row r="80" spans="1:8" x14ac:dyDescent="0.25">
      <c r="A80" s="271" t="s">
        <v>2045</v>
      </c>
      <c r="B80" s="814"/>
      <c r="C80" s="751"/>
      <c r="D80" s="751"/>
      <c r="E80" s="816"/>
      <c r="F80" s="751"/>
      <c r="G80" s="751"/>
      <c r="H80" s="751"/>
    </row>
    <row r="81" spans="1:8" x14ac:dyDescent="0.25">
      <c r="A81" s="747" t="s">
        <v>2041</v>
      </c>
      <c r="B81" s="814"/>
      <c r="C81" s="751"/>
      <c r="D81" s="751"/>
      <c r="E81" s="814"/>
      <c r="F81" s="752"/>
      <c r="G81" s="752"/>
      <c r="H81" s="752"/>
    </row>
    <row r="82" spans="1:8" x14ac:dyDescent="0.25">
      <c r="A82" s="812" t="s">
        <v>2042</v>
      </c>
      <c r="B82" s="814"/>
      <c r="C82" s="751"/>
      <c r="D82" s="751"/>
      <c r="E82" s="814"/>
      <c r="F82" s="751"/>
      <c r="G82" s="751"/>
      <c r="H82" s="751"/>
    </row>
    <row r="83" spans="1:8" x14ac:dyDescent="0.25">
      <c r="A83" s="819" t="s">
        <v>2043</v>
      </c>
      <c r="B83" s="820"/>
      <c r="C83" s="751"/>
      <c r="D83" s="751"/>
      <c r="E83" s="821"/>
      <c r="F83" s="751"/>
      <c r="G83" s="751"/>
      <c r="H83" s="751"/>
    </row>
    <row r="84" spans="1:8" x14ac:dyDescent="0.25">
      <c r="A84" s="812" t="s">
        <v>2046</v>
      </c>
      <c r="B84" s="814"/>
      <c r="C84" s="751"/>
      <c r="D84" s="751"/>
      <c r="E84" s="814"/>
      <c r="F84" s="751"/>
      <c r="G84" s="751"/>
      <c r="H84" s="751"/>
    </row>
    <row r="85" spans="1:8" x14ac:dyDescent="0.25">
      <c r="A85" s="271" t="s">
        <v>2040</v>
      </c>
      <c r="B85" s="814"/>
      <c r="C85" s="751"/>
      <c r="D85" s="751"/>
      <c r="E85" s="814"/>
      <c r="F85" s="751">
        <v>63753</v>
      </c>
      <c r="G85" s="751"/>
      <c r="H85" s="751"/>
    </row>
    <row r="86" spans="1:8" x14ac:dyDescent="0.25">
      <c r="A86" s="271" t="s">
        <v>2045</v>
      </c>
      <c r="B86" s="814"/>
      <c r="C86" s="751"/>
      <c r="D86" s="751"/>
      <c r="E86" s="814"/>
      <c r="F86" s="751">
        <f>40899-25073</f>
        <v>15826</v>
      </c>
      <c r="G86" s="751"/>
      <c r="H86" s="751">
        <v>25073</v>
      </c>
    </row>
    <row r="87" spans="1:8" x14ac:dyDescent="0.25">
      <c r="A87" s="747" t="s">
        <v>2041</v>
      </c>
      <c r="B87" s="802"/>
      <c r="C87" s="751"/>
      <c r="D87" s="751"/>
      <c r="E87" s="751"/>
      <c r="F87" s="752">
        <v>18897</v>
      </c>
      <c r="G87" s="751"/>
      <c r="H87" s="751"/>
    </row>
    <row r="88" spans="1:8" x14ac:dyDescent="0.25">
      <c r="A88" s="812" t="s">
        <v>2042</v>
      </c>
      <c r="B88" s="802"/>
      <c r="C88" s="751"/>
      <c r="D88" s="751"/>
      <c r="E88" s="751"/>
      <c r="F88" s="751">
        <v>5975</v>
      </c>
      <c r="G88" s="751"/>
      <c r="H88" s="751"/>
    </row>
    <row r="89" spans="1:8" x14ac:dyDescent="0.25">
      <c r="A89" s="819" t="s">
        <v>2043</v>
      </c>
      <c r="B89" s="802"/>
      <c r="C89" s="751"/>
      <c r="D89" s="751"/>
      <c r="E89" s="751"/>
      <c r="F89" s="751">
        <v>2500</v>
      </c>
      <c r="G89" s="751"/>
      <c r="H89" s="751"/>
    </row>
    <row r="90" spans="1:8" x14ac:dyDescent="0.25">
      <c r="A90" s="812" t="s">
        <v>2046</v>
      </c>
      <c r="B90" s="802"/>
      <c r="C90" s="751"/>
      <c r="D90" s="751"/>
      <c r="E90" s="751"/>
      <c r="F90" s="751">
        <v>2003</v>
      </c>
      <c r="G90" s="751"/>
      <c r="H90" s="751"/>
    </row>
    <row r="91" spans="1:8" x14ac:dyDescent="0.25">
      <c r="A91" s="812" t="s">
        <v>2044</v>
      </c>
      <c r="B91" s="802"/>
      <c r="C91" s="751"/>
      <c r="D91" s="751"/>
      <c r="E91" s="751"/>
      <c r="F91" s="751"/>
      <c r="G91" s="751">
        <v>45270</v>
      </c>
      <c r="H91" s="751"/>
    </row>
    <row r="92" spans="1:8" x14ac:dyDescent="0.25">
      <c r="A92" s="812" t="s">
        <v>2047</v>
      </c>
      <c r="B92" s="802"/>
      <c r="C92" s="751"/>
      <c r="D92" s="751"/>
      <c r="E92" s="751"/>
      <c r="F92" s="751"/>
      <c r="G92" s="751">
        <v>30002</v>
      </c>
      <c r="H92" s="751"/>
    </row>
    <row r="93" spans="1:8" x14ac:dyDescent="0.25">
      <c r="A93" s="271" t="s">
        <v>2048</v>
      </c>
      <c r="B93" s="802"/>
      <c r="C93" s="751"/>
      <c r="D93" s="751"/>
      <c r="E93" s="751"/>
      <c r="F93" s="751"/>
      <c r="G93" s="751">
        <v>32415</v>
      </c>
      <c r="H93" s="751"/>
    </row>
    <row r="94" spans="1:8" x14ac:dyDescent="0.25">
      <c r="A94" s="812" t="s">
        <v>2044</v>
      </c>
      <c r="B94" s="802"/>
      <c r="C94" s="751"/>
      <c r="D94" s="751"/>
      <c r="E94" s="751"/>
      <c r="F94" s="751"/>
      <c r="G94" s="751">
        <f>45270-6430</f>
        <v>38840</v>
      </c>
      <c r="H94" s="751">
        <v>6430</v>
      </c>
    </row>
    <row r="95" spans="1:8" x14ac:dyDescent="0.25">
      <c r="A95" s="812" t="s">
        <v>2047</v>
      </c>
      <c r="B95" s="802"/>
      <c r="C95" s="751"/>
      <c r="D95" s="751"/>
      <c r="E95" s="751"/>
      <c r="F95" s="751"/>
      <c r="G95" s="751"/>
      <c r="H95" s="751"/>
    </row>
    <row r="96" spans="1:8" x14ac:dyDescent="0.25">
      <c r="A96" s="271" t="s">
        <v>2049</v>
      </c>
      <c r="B96" s="802"/>
      <c r="C96" s="751"/>
      <c r="D96" s="751"/>
      <c r="E96" s="751"/>
      <c r="F96" s="751"/>
      <c r="G96" s="751"/>
      <c r="H96" s="751">
        <v>26194</v>
      </c>
    </row>
    <row r="97" spans="1:8" x14ac:dyDescent="0.25">
      <c r="A97" s="812" t="s">
        <v>2050</v>
      </c>
      <c r="B97" s="802"/>
      <c r="C97" s="751"/>
      <c r="D97" s="751"/>
      <c r="E97" s="751"/>
      <c r="F97" s="751"/>
      <c r="G97" s="751"/>
      <c r="H97" s="751">
        <v>13000</v>
      </c>
    </row>
    <row r="98" spans="1:8" ht="27" x14ac:dyDescent="0.25">
      <c r="A98" s="812" t="s">
        <v>2051</v>
      </c>
      <c r="B98" s="802"/>
      <c r="C98" s="751"/>
      <c r="D98" s="751"/>
      <c r="E98" s="751"/>
      <c r="F98" s="751"/>
      <c r="G98" s="751"/>
      <c r="H98" s="751">
        <v>10000</v>
      </c>
    </row>
    <row r="99" spans="1:8" x14ac:dyDescent="0.25">
      <c r="A99" s="271" t="s">
        <v>2052</v>
      </c>
      <c r="B99" s="802"/>
      <c r="C99" s="751"/>
      <c r="D99" s="751"/>
      <c r="E99" s="751"/>
      <c r="F99" s="751"/>
      <c r="G99" s="751"/>
      <c r="H99" s="751">
        <v>13000</v>
      </c>
    </row>
    <row r="100" spans="1:8" x14ac:dyDescent="0.25">
      <c r="A100" s="271" t="s">
        <v>2053</v>
      </c>
      <c r="B100" s="802"/>
      <c r="C100" s="751"/>
      <c r="D100" s="751"/>
      <c r="E100" s="751"/>
      <c r="F100" s="751"/>
      <c r="G100" s="751"/>
      <c r="H100" s="751">
        <v>85529</v>
      </c>
    </row>
    <row r="101" spans="1:8" ht="15.75" thickBot="1" x14ac:dyDescent="0.3">
      <c r="A101" s="747"/>
      <c r="B101" s="803"/>
      <c r="C101" s="752"/>
      <c r="D101" s="752"/>
      <c r="E101" s="752"/>
      <c r="F101" s="752"/>
      <c r="G101" s="752"/>
      <c r="H101" s="752"/>
    </row>
    <row r="102" spans="1:8" ht="16.5" thickTop="1" thickBot="1" x14ac:dyDescent="0.3">
      <c r="A102" s="753" t="str">
        <f>'(G1) Fjalori'!A500</f>
        <v>TOTAL</v>
      </c>
      <c r="B102" s="754">
        <f>SUM(B3:B101)</f>
        <v>517073</v>
      </c>
      <c r="C102" s="750">
        <f>SUM(C3:C101)</f>
        <v>61509</v>
      </c>
      <c r="D102" s="750">
        <f t="shared" ref="D102:H102" si="0">SUM(D3:D101)</f>
        <v>79442</v>
      </c>
      <c r="E102" s="750">
        <f t="shared" si="0"/>
        <v>134037</v>
      </c>
      <c r="F102" s="750">
        <f t="shared" si="0"/>
        <v>134027</v>
      </c>
      <c r="G102" s="750">
        <f t="shared" si="0"/>
        <v>146527</v>
      </c>
      <c r="H102" s="750">
        <f t="shared" si="0"/>
        <v>179226</v>
      </c>
    </row>
    <row r="103" spans="1:8" ht="15.75" thickTop="1" x14ac:dyDescent="0.25"/>
    <row r="104" spans="1:8" x14ac:dyDescent="0.25">
      <c r="C104" s="407"/>
      <c r="D104" s="407"/>
      <c r="E104" s="407"/>
      <c r="F104" s="407"/>
      <c r="G104" s="407"/>
      <c r="H104" s="407"/>
    </row>
  </sheetData>
  <sheetProtection algorithmName="SHA-512" hashValue="01N13Xn91cxbgdBnJNFdkwByXUHIVmvc00YvejKmxBZDv+VyYJDspQt54Lnr0vfKbUd54UmxIS5wz06HR1+HbQ==" saltValue="CGwGzL3oFGfYkrSDh2GmFw==" spinCount="100000" sheet="1" objects="1" scenarios="1" selectLockedCells="1"/>
  <mergeCells count="1">
    <mergeCell ref="A1:H1"/>
  </mergeCells>
  <pageMargins left="0.7" right="0.7" top="0.75" bottom="0.75" header="0.3" footer="0.3"/>
  <pageSetup orientation="portrait" r:id="rId1"/>
  <headerFooter>
    <oddHeader xml:space="preserve">&amp;LPROGRAMI BUXHETOR AFATMESËM&amp;C28 Shkurt 2019&amp;R(C6) Lista emërore e projekteve të investimeve 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445" zoomScale="101" zoomScaleNormal="101" workbookViewId="0">
      <selection activeCell="E273" sqref="E273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41" t="str">
        <f>'(G1) Fjalori'!A327</f>
        <v>(D1) TAVANET</v>
      </c>
      <c r="B3" s="842"/>
      <c r="C3" s="842"/>
      <c r="D3" s="842"/>
      <c r="E3" s="843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2022</v>
      </c>
      <c r="D5" s="168">
        <f>'(B1)Informacion i përgjithshëm '!$B9</f>
        <v>2023</v>
      </c>
      <c r="E5" s="168">
        <f>'(B1)Informacion i përgjithshëm '!$B10</f>
        <v>2024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6" t="str">
        <f>'(B2) Struktura Organizative'!A7</f>
        <v>Nënfunksioni 1</v>
      </c>
      <c r="B7" s="876" t="str">
        <f>'(B2) Struktura Organizative'!B7</f>
        <v>011 Organet ekzekutive dhe legjislative, për çështjet financiare dhe fiskale, çështjet e brendshme</v>
      </c>
      <c r="C7" s="901"/>
      <c r="D7" s="901"/>
      <c r="E7" s="877"/>
      <c r="G7" s="312">
        <f>C11</f>
        <v>215173</v>
      </c>
      <c r="H7" s="312">
        <f t="shared" ref="H7:I7" si="0">D11</f>
        <v>216173</v>
      </c>
      <c r="I7" s="312">
        <f t="shared" si="0"/>
        <v>216173</v>
      </c>
      <c r="J7" s="312">
        <f>C8</f>
        <v>147533</v>
      </c>
      <c r="K7" s="312">
        <f t="shared" ref="K7:L7" si="1">D8</f>
        <v>148533</v>
      </c>
      <c r="L7" s="312">
        <f t="shared" si="1"/>
        <v>148533</v>
      </c>
      <c r="M7" s="312">
        <f>C9</f>
        <v>63640</v>
      </c>
      <c r="N7" s="312">
        <f t="shared" ref="N7:O7" si="2">D9</f>
        <v>63640</v>
      </c>
      <c r="O7" s="312">
        <f t="shared" si="2"/>
        <v>63640</v>
      </c>
      <c r="P7" s="312">
        <f>C10</f>
        <v>4000</v>
      </c>
      <c r="Q7" s="312">
        <f t="shared" ref="Q7:R7" si="3">D10</f>
        <v>4000</v>
      </c>
      <c r="R7" s="312">
        <f t="shared" si="3"/>
        <v>4000</v>
      </c>
    </row>
    <row r="8" spans="1:20" x14ac:dyDescent="0.15">
      <c r="A8" s="286" t="str">
        <f>'(G1) Fjalori'!A328</f>
        <v>Pagat dhe sigurimet shoqërore</v>
      </c>
      <c r="B8" s="286"/>
      <c r="C8" s="563">
        <f>C14+C20+C26</f>
        <v>147533</v>
      </c>
      <c r="D8" s="563">
        <f t="shared" ref="D8:E8" si="4">D14+D20+D26</f>
        <v>148533</v>
      </c>
      <c r="E8" s="563">
        <f t="shared" si="4"/>
        <v>148533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3">
        <f>C15+C21+C27</f>
        <v>63640</v>
      </c>
      <c r="D9" s="563">
        <f t="shared" ref="D9:E9" si="18">D15+D21+D27</f>
        <v>63640</v>
      </c>
      <c r="E9" s="563">
        <f t="shared" si="18"/>
        <v>63640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5" t="str">
        <f>'(G1) Fjalori'!A330</f>
        <v>Shpenzimet kapitale</v>
      </c>
      <c r="B10" s="566"/>
      <c r="C10" s="563">
        <f>C11-C8-C9</f>
        <v>4000</v>
      </c>
      <c r="D10" s="561">
        <f>D11-D8-D9</f>
        <v>4000</v>
      </c>
      <c r="E10" s="561">
        <f>E11-E8-E9</f>
        <v>4000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5" t="str">
        <f>'(G1) Fjalori'!A740</f>
        <v>Tavanet e përgjithshme</v>
      </c>
      <c r="B11" s="556"/>
      <c r="C11" s="563">
        <f>C17+C23+C29</f>
        <v>215173</v>
      </c>
      <c r="D11" s="563">
        <f t="shared" ref="D11:E11" si="31">D17+D23+D29</f>
        <v>216173</v>
      </c>
      <c r="E11" s="563">
        <f t="shared" si="31"/>
        <v>216173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3" t="str">
        <f>'(G1) Fjalori'!A753</f>
        <v>Angazhimet kujtesë</v>
      </c>
      <c r="B12" s="694"/>
      <c r="C12" s="694">
        <f>'(C5) Angazhimet'!D15</f>
        <v>0</v>
      </c>
      <c r="D12" s="695">
        <f>'(C5) Angazhimet'!E15</f>
        <v>0</v>
      </c>
      <c r="E12" s="695">
        <f>'(C5) Angazhimet'!F15</f>
        <v>0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7" t="str">
        <f>'(B3) Struktura Funksionale'!B8</f>
        <v>01110</v>
      </c>
      <c r="B13" s="898" t="str">
        <f>'(B3) Struktura Funksionale'!C8</f>
        <v>Planifikimi Menaxhimi dhe Administrimi</v>
      </c>
      <c r="C13" s="899"/>
      <c r="D13" s="899"/>
      <c r="E13" s="900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6">
        <f>83017+13090+29311+4895</f>
        <v>130313</v>
      </c>
      <c r="D14" s="696">
        <f>83017+13090+29311+4895+1000</f>
        <v>131313</v>
      </c>
      <c r="E14" s="696">
        <f>83017+13090+29311+4895+1000</f>
        <v>131313</v>
      </c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f>31590+1000+27500+3500</f>
        <v>63590</v>
      </c>
      <c r="D15" s="288">
        <f t="shared" ref="D15:E15" si="59">31590+1000+27500+3500</f>
        <v>63590</v>
      </c>
      <c r="E15" s="288">
        <f t="shared" si="59"/>
        <v>63590</v>
      </c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5" t="str">
        <f>A$10</f>
        <v>Shpenzimet kapitale</v>
      </c>
      <c r="B16" s="566"/>
      <c r="C16" s="563">
        <f>C17-C14-C15</f>
        <v>4000</v>
      </c>
      <c r="D16" s="563">
        <f t="shared" ref="D16:E16" si="60">D17-D14-D15</f>
        <v>4000</v>
      </c>
      <c r="E16" s="563">
        <f t="shared" si="60"/>
        <v>4000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5" t="str">
        <f>A$11</f>
        <v>Tavanet e përgjithshme</v>
      </c>
      <c r="B17" s="556"/>
      <c r="C17" s="564">
        <f>132697+65207-1</f>
        <v>197903</v>
      </c>
      <c r="D17" s="564">
        <f>132697+65207-1+1000</f>
        <v>198903</v>
      </c>
      <c r="E17" s="564">
        <f>132697+65207-1+1000</f>
        <v>198903</v>
      </c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7" t="str">
        <f>A$12</f>
        <v>Angazhimet kujtesë</v>
      </c>
      <c r="B18" s="563"/>
      <c r="C18" s="563">
        <f>'(C5) Angazhimet'!D9</f>
        <v>0</v>
      </c>
      <c r="D18" s="561">
        <f>'(C5) Angazhimet'!E9</f>
        <v>0</v>
      </c>
      <c r="E18" s="563">
        <f>'(C5) Angazhimet'!F9</f>
        <v>0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7" t="str">
        <f>'(B3) Struktura Funksionale'!B9</f>
        <v>01120</v>
      </c>
      <c r="B19" s="898" t="str">
        <f>'(B3) Struktura Funksionale'!C9</f>
        <v>Çështje financiare dhe fiskale</v>
      </c>
      <c r="C19" s="899"/>
      <c r="D19" s="899"/>
      <c r="E19" s="900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>
        <f>6187+1033</f>
        <v>7220</v>
      </c>
      <c r="D20" s="287">
        <f t="shared" ref="D20:E20" si="61">6187+1033</f>
        <v>7220</v>
      </c>
      <c r="E20" s="287">
        <f t="shared" si="61"/>
        <v>7220</v>
      </c>
      <c r="F20" s="407" t="str">
        <f>IF(C20&lt;0,"STOPP!","OK!")</f>
        <v>OK!</v>
      </c>
      <c r="G20" s="407" t="str">
        <f t="shared" ref="G20:G24" si="62">IF(D20&lt;0,"STOPP!","OK!")</f>
        <v>OK!</v>
      </c>
      <c r="H20" s="407" t="str">
        <f t="shared" ref="H20:H24" si="63">IF(E20&lt;0,"STOPP!","OK!")</f>
        <v>OK!</v>
      </c>
      <c r="I20" s="407" t="str">
        <f t="shared" ref="I20:I24" si="64">IF(F20&lt;0,"STOPP!","OK!")</f>
        <v>OK!</v>
      </c>
      <c r="J20" s="407" t="str">
        <f t="shared" ref="J20:J24" si="65">IF(G20&lt;0,"STOPP!","OK!")</f>
        <v>OK!</v>
      </c>
      <c r="K20" s="407" t="str">
        <f t="shared" ref="K20:K24" si="66">IF(H20&lt;0,"STOPP!","OK!")</f>
        <v>OK!</v>
      </c>
      <c r="L20" s="407" t="str">
        <f t="shared" ref="L20:L24" si="67">IF(I20&lt;0,"STOPP!","OK!")</f>
        <v>OK!</v>
      </c>
      <c r="M20" s="407" t="str">
        <f t="shared" ref="M20:M24" si="68">IF(J20&lt;0,"STOPP!","OK!")</f>
        <v>OK!</v>
      </c>
      <c r="N20" s="407" t="str">
        <f t="shared" ref="N20:N24" si="69">IF(K20&lt;0,"STOPP!","OK!")</f>
        <v>OK!</v>
      </c>
      <c r="O20" s="407" t="str">
        <f t="shared" ref="O20:O24" si="70">IF(L20&lt;0,"STOPP!","OK!")</f>
        <v>OK!</v>
      </c>
      <c r="P20" s="407" t="str">
        <f t="shared" ref="P20:P24" si="71">IF(M20&lt;0,"STOPP!","OK!")</f>
        <v>OK!</v>
      </c>
      <c r="Q20" s="407" t="str">
        <f t="shared" ref="Q20:Q24" si="72">IF(N20&lt;0,"STOPP!","OK!")</f>
        <v>OK!</v>
      </c>
      <c r="R20" s="407" t="str">
        <f t="shared" ref="R20:R24" si="73">IF(O20&lt;0,"STOPP!","OK!")</f>
        <v>OK!</v>
      </c>
      <c r="S20" s="407" t="str">
        <f t="shared" ref="S20:S23" si="74">IF(D20&lt;0,"STOPP!","OK!")</f>
        <v>OK!</v>
      </c>
      <c r="T20" s="407" t="str">
        <f t="shared" ref="T20:T23" si="75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>
        <v>50</v>
      </c>
      <c r="D21" s="288">
        <v>50</v>
      </c>
      <c r="E21" s="288">
        <v>50</v>
      </c>
      <c r="F21" s="407" t="str">
        <f>IF(C21&lt;0,"STOPP!","OK!")</f>
        <v>OK!</v>
      </c>
      <c r="G21" s="407" t="str">
        <f t="shared" si="62"/>
        <v>OK!</v>
      </c>
      <c r="H21" s="407" t="str">
        <f t="shared" si="63"/>
        <v>OK!</v>
      </c>
      <c r="I21" s="407" t="str">
        <f t="shared" si="64"/>
        <v>OK!</v>
      </c>
      <c r="J21" s="407" t="str">
        <f t="shared" si="65"/>
        <v>OK!</v>
      </c>
      <c r="K21" s="407" t="str">
        <f t="shared" si="66"/>
        <v>OK!</v>
      </c>
      <c r="L21" s="407" t="str">
        <f t="shared" si="67"/>
        <v>OK!</v>
      </c>
      <c r="M21" s="407" t="str">
        <f t="shared" si="68"/>
        <v>OK!</v>
      </c>
      <c r="N21" s="407" t="str">
        <f t="shared" si="69"/>
        <v>OK!</v>
      </c>
      <c r="O21" s="407" t="str">
        <f t="shared" si="70"/>
        <v>OK!</v>
      </c>
      <c r="P21" s="407" t="str">
        <f t="shared" si="71"/>
        <v>OK!</v>
      </c>
      <c r="Q21" s="407" t="str">
        <f t="shared" si="72"/>
        <v>OK!</v>
      </c>
      <c r="R21" s="407" t="str">
        <f t="shared" si="73"/>
        <v>OK!</v>
      </c>
      <c r="S21" s="407" t="str">
        <f t="shared" si="74"/>
        <v>OK!</v>
      </c>
      <c r="T21" s="407" t="str">
        <f t="shared" si="75"/>
        <v>OK!</v>
      </c>
    </row>
    <row r="22" spans="1:20" x14ac:dyDescent="0.15">
      <c r="A22" s="565" t="str">
        <f>A$10</f>
        <v>Shpenzimet kapitale</v>
      </c>
      <c r="B22" s="566"/>
      <c r="C22" s="563">
        <f>C23-C20-C21</f>
        <v>0</v>
      </c>
      <c r="D22" s="563">
        <f t="shared" ref="D22:E22" si="76">D23-D20-D21</f>
        <v>0</v>
      </c>
      <c r="E22" s="563">
        <f t="shared" si="76"/>
        <v>0</v>
      </c>
      <c r="F22" s="407" t="str">
        <f>IF(C22&lt;0,"STOPP!","OK!")</f>
        <v>OK!</v>
      </c>
      <c r="G22" s="407" t="str">
        <f t="shared" si="62"/>
        <v>OK!</v>
      </c>
      <c r="H22" s="407" t="str">
        <f t="shared" si="63"/>
        <v>OK!</v>
      </c>
      <c r="I22" s="407" t="str">
        <f t="shared" si="64"/>
        <v>OK!</v>
      </c>
      <c r="J22" s="407" t="str">
        <f t="shared" si="65"/>
        <v>OK!</v>
      </c>
      <c r="K22" s="407" t="str">
        <f t="shared" si="66"/>
        <v>OK!</v>
      </c>
      <c r="L22" s="407" t="str">
        <f t="shared" si="67"/>
        <v>OK!</v>
      </c>
      <c r="M22" s="407" t="str">
        <f t="shared" si="68"/>
        <v>OK!</v>
      </c>
      <c r="N22" s="407" t="str">
        <f t="shared" si="69"/>
        <v>OK!</v>
      </c>
      <c r="O22" s="407" t="str">
        <f t="shared" si="70"/>
        <v>OK!</v>
      </c>
      <c r="P22" s="407" t="str">
        <f t="shared" si="71"/>
        <v>OK!</v>
      </c>
      <c r="Q22" s="407" t="str">
        <f t="shared" si="72"/>
        <v>OK!</v>
      </c>
      <c r="R22" s="407" t="str">
        <f t="shared" si="73"/>
        <v>OK!</v>
      </c>
      <c r="S22" s="407" t="str">
        <f t="shared" si="74"/>
        <v>OK!</v>
      </c>
      <c r="T22" s="407" t="str">
        <f t="shared" si="75"/>
        <v>OK!</v>
      </c>
    </row>
    <row r="23" spans="1:20" x14ac:dyDescent="0.15">
      <c r="A23" s="555" t="str">
        <f>A$11</f>
        <v>Tavanet e përgjithshme</v>
      </c>
      <c r="B23" s="556"/>
      <c r="C23" s="564">
        <v>7270</v>
      </c>
      <c r="D23" s="564">
        <v>7270</v>
      </c>
      <c r="E23" s="564">
        <v>7270</v>
      </c>
      <c r="F23" s="407" t="str">
        <f>IF(C23&lt;0,"STOPP!","OK!")</f>
        <v>OK!</v>
      </c>
      <c r="G23" s="407" t="str">
        <f t="shared" si="62"/>
        <v>OK!</v>
      </c>
      <c r="H23" s="407" t="str">
        <f t="shared" si="63"/>
        <v>OK!</v>
      </c>
      <c r="I23" s="407" t="str">
        <f t="shared" si="64"/>
        <v>OK!</v>
      </c>
      <c r="J23" s="407" t="str">
        <f t="shared" si="65"/>
        <v>OK!</v>
      </c>
      <c r="K23" s="407" t="str">
        <f t="shared" si="66"/>
        <v>OK!</v>
      </c>
      <c r="L23" s="407" t="str">
        <f t="shared" si="67"/>
        <v>OK!</v>
      </c>
      <c r="M23" s="407" t="str">
        <f t="shared" si="68"/>
        <v>OK!</v>
      </c>
      <c r="N23" s="407" t="str">
        <f t="shared" si="69"/>
        <v>OK!</v>
      </c>
      <c r="O23" s="407" t="str">
        <f t="shared" si="70"/>
        <v>OK!</v>
      </c>
      <c r="P23" s="407" t="str">
        <f t="shared" si="71"/>
        <v>OK!</v>
      </c>
      <c r="Q23" s="407" t="str">
        <f t="shared" si="72"/>
        <v>OK!</v>
      </c>
      <c r="R23" s="407" t="str">
        <f t="shared" si="73"/>
        <v>OK!</v>
      </c>
      <c r="S23" s="407" t="str">
        <f t="shared" si="74"/>
        <v>OK!</v>
      </c>
      <c r="T23" s="407" t="str">
        <f t="shared" si="75"/>
        <v>OK!</v>
      </c>
    </row>
    <row r="24" spans="1:20" x14ac:dyDescent="0.15">
      <c r="A24" s="567" t="str">
        <f>A$12</f>
        <v>Angazhimet kujtesë</v>
      </c>
      <c r="B24" s="563"/>
      <c r="C24" s="563">
        <f>'(C5) Angazhimet'!D10</f>
        <v>0</v>
      </c>
      <c r="D24" s="563">
        <f>'(C5) Angazhimet'!E10</f>
        <v>0</v>
      </c>
      <c r="E24" s="563">
        <f>'(C5) Angazhimet'!F10</f>
        <v>0</v>
      </c>
      <c r="F24" s="407" t="str">
        <f>IF(C24&gt;C23,"STOPP!","OK!")</f>
        <v>OK!</v>
      </c>
      <c r="G24" s="407" t="str">
        <f t="shared" si="62"/>
        <v>OK!</v>
      </c>
      <c r="H24" s="407" t="str">
        <f t="shared" si="63"/>
        <v>OK!</v>
      </c>
      <c r="I24" s="407" t="str">
        <f t="shared" si="64"/>
        <v>OK!</v>
      </c>
      <c r="J24" s="407" t="str">
        <f t="shared" si="65"/>
        <v>OK!</v>
      </c>
      <c r="K24" s="407" t="str">
        <f t="shared" si="66"/>
        <v>OK!</v>
      </c>
      <c r="L24" s="407" t="str">
        <f t="shared" si="67"/>
        <v>OK!</v>
      </c>
      <c r="M24" s="407" t="str">
        <f t="shared" si="68"/>
        <v>OK!</v>
      </c>
      <c r="N24" s="407" t="str">
        <f t="shared" si="69"/>
        <v>OK!</v>
      </c>
      <c r="O24" s="407" t="str">
        <f t="shared" si="70"/>
        <v>OK!</v>
      </c>
      <c r="P24" s="407" t="str">
        <f t="shared" si="71"/>
        <v>OK!</v>
      </c>
      <c r="Q24" s="407" t="str">
        <f t="shared" si="72"/>
        <v>OK!</v>
      </c>
      <c r="R24" s="407" t="str">
        <f t="shared" si="73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7" t="str">
        <f>'(B3) Struktura Funksionale'!B11</f>
        <v>01170</v>
      </c>
      <c r="B25" s="898" t="str">
        <f>'(B3) Struktura Funksionale'!C11</f>
        <v>Gjendja civile</v>
      </c>
      <c r="C25" s="899"/>
      <c r="D25" s="899"/>
      <c r="E25" s="900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>
        <v>10000</v>
      </c>
      <c r="D26" s="287">
        <v>10000</v>
      </c>
      <c r="E26" s="287">
        <v>10000</v>
      </c>
      <c r="F26" s="407" t="str">
        <f>IF(C26&lt;0,"STOPP!","OK!")</f>
        <v>OK!</v>
      </c>
      <c r="G26" s="407" t="str">
        <f t="shared" ref="G26:G30" si="77">IF(D26&lt;0,"STOPP!","OK!")</f>
        <v>OK!</v>
      </c>
      <c r="H26" s="407" t="str">
        <f t="shared" ref="H26:H30" si="78">IF(E26&lt;0,"STOPP!","OK!")</f>
        <v>OK!</v>
      </c>
      <c r="I26" s="407" t="str">
        <f t="shared" ref="I26:I30" si="79">IF(F26&lt;0,"STOPP!","OK!")</f>
        <v>OK!</v>
      </c>
      <c r="J26" s="407" t="str">
        <f t="shared" ref="J26:J30" si="80">IF(G26&lt;0,"STOPP!","OK!")</f>
        <v>OK!</v>
      </c>
      <c r="K26" s="407" t="str">
        <f t="shared" ref="K26:K30" si="81">IF(H26&lt;0,"STOPP!","OK!")</f>
        <v>OK!</v>
      </c>
      <c r="L26" s="407" t="str">
        <f t="shared" ref="L26:L30" si="82">IF(I26&lt;0,"STOPP!","OK!")</f>
        <v>OK!</v>
      </c>
      <c r="M26" s="407" t="str">
        <f t="shared" ref="M26:M30" si="83">IF(J26&lt;0,"STOPP!","OK!")</f>
        <v>OK!</v>
      </c>
      <c r="N26" s="407" t="str">
        <f t="shared" ref="N26:N30" si="84">IF(K26&lt;0,"STOPP!","OK!")</f>
        <v>OK!</v>
      </c>
      <c r="O26" s="407" t="str">
        <f t="shared" ref="O26:O30" si="85">IF(L26&lt;0,"STOPP!","OK!")</f>
        <v>OK!</v>
      </c>
      <c r="P26" s="407" t="str">
        <f t="shared" ref="P26:P30" si="86">IF(M26&lt;0,"STOPP!","OK!")</f>
        <v>OK!</v>
      </c>
      <c r="Q26" s="407" t="str">
        <f t="shared" ref="Q26:Q30" si="87">IF(N26&lt;0,"STOPP!","OK!")</f>
        <v>OK!</v>
      </c>
      <c r="R26" s="407" t="str">
        <f t="shared" ref="R26:R30" si="88">IF(O26&lt;0,"STOPP!","OK!")</f>
        <v>OK!</v>
      </c>
      <c r="S26" s="407" t="str">
        <f t="shared" ref="S26:S29" si="89">IF(D26&lt;0,"STOPP!","OK!")</f>
        <v>OK!</v>
      </c>
      <c r="T26" s="407" t="str">
        <f t="shared" ref="T26:T29" si="90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/>
      <c r="D27" s="288"/>
      <c r="E27" s="288"/>
      <c r="F27" s="407" t="str">
        <f>IF(C27&lt;0,"STOPP!","OK!")</f>
        <v>OK!</v>
      </c>
      <c r="G27" s="407" t="str">
        <f t="shared" si="77"/>
        <v>OK!</v>
      </c>
      <c r="H27" s="407" t="str">
        <f t="shared" si="78"/>
        <v>OK!</v>
      </c>
      <c r="I27" s="407" t="str">
        <f t="shared" si="79"/>
        <v>OK!</v>
      </c>
      <c r="J27" s="407" t="str">
        <f t="shared" si="80"/>
        <v>OK!</v>
      </c>
      <c r="K27" s="407" t="str">
        <f t="shared" si="81"/>
        <v>OK!</v>
      </c>
      <c r="L27" s="407" t="str">
        <f t="shared" si="82"/>
        <v>OK!</v>
      </c>
      <c r="M27" s="407" t="str">
        <f t="shared" si="83"/>
        <v>OK!</v>
      </c>
      <c r="N27" s="407" t="str">
        <f t="shared" si="84"/>
        <v>OK!</v>
      </c>
      <c r="O27" s="407" t="str">
        <f t="shared" si="85"/>
        <v>OK!</v>
      </c>
      <c r="P27" s="407" t="str">
        <f t="shared" si="86"/>
        <v>OK!</v>
      </c>
      <c r="Q27" s="407" t="str">
        <f t="shared" si="87"/>
        <v>OK!</v>
      </c>
      <c r="R27" s="407" t="str">
        <f t="shared" si="88"/>
        <v>OK!</v>
      </c>
      <c r="S27" s="407" t="str">
        <f t="shared" si="89"/>
        <v>OK!</v>
      </c>
      <c r="T27" s="407" t="str">
        <f t="shared" si="90"/>
        <v>OK!</v>
      </c>
    </row>
    <row r="28" spans="1:20" x14ac:dyDescent="0.15">
      <c r="A28" s="565" t="str">
        <f>A$10</f>
        <v>Shpenzimet kapitale</v>
      </c>
      <c r="B28" s="566"/>
      <c r="C28" s="563">
        <f>C29-C26-C27</f>
        <v>0</v>
      </c>
      <c r="D28" s="563">
        <f t="shared" ref="D28:E28" si="91">D29-D26-D27</f>
        <v>0</v>
      </c>
      <c r="E28" s="563">
        <f t="shared" si="91"/>
        <v>0</v>
      </c>
      <c r="F28" s="407" t="str">
        <f>IF(C28&lt;0,"STOPP!","OK!")</f>
        <v>OK!</v>
      </c>
      <c r="G28" s="407" t="str">
        <f t="shared" si="77"/>
        <v>OK!</v>
      </c>
      <c r="H28" s="407" t="str">
        <f t="shared" si="78"/>
        <v>OK!</v>
      </c>
      <c r="I28" s="407" t="str">
        <f t="shared" si="79"/>
        <v>OK!</v>
      </c>
      <c r="J28" s="407" t="str">
        <f t="shared" si="80"/>
        <v>OK!</v>
      </c>
      <c r="K28" s="407" t="str">
        <f t="shared" si="81"/>
        <v>OK!</v>
      </c>
      <c r="L28" s="407" t="str">
        <f t="shared" si="82"/>
        <v>OK!</v>
      </c>
      <c r="M28" s="407" t="str">
        <f t="shared" si="83"/>
        <v>OK!</v>
      </c>
      <c r="N28" s="407" t="str">
        <f t="shared" si="84"/>
        <v>OK!</v>
      </c>
      <c r="O28" s="407" t="str">
        <f t="shared" si="85"/>
        <v>OK!</v>
      </c>
      <c r="P28" s="407" t="str">
        <f t="shared" si="86"/>
        <v>OK!</v>
      </c>
      <c r="Q28" s="407" t="str">
        <f t="shared" si="87"/>
        <v>OK!</v>
      </c>
      <c r="R28" s="407" t="str">
        <f t="shared" si="88"/>
        <v>OK!</v>
      </c>
      <c r="S28" s="407" t="str">
        <f t="shared" si="89"/>
        <v>OK!</v>
      </c>
      <c r="T28" s="407" t="str">
        <f t="shared" si="90"/>
        <v>OK!</v>
      </c>
    </row>
    <row r="29" spans="1:20" x14ac:dyDescent="0.15">
      <c r="A29" s="555" t="str">
        <f>A$11</f>
        <v>Tavanet e përgjithshme</v>
      </c>
      <c r="B29" s="556"/>
      <c r="C29" s="564">
        <v>10000</v>
      </c>
      <c r="D29" s="564">
        <v>10000</v>
      </c>
      <c r="E29" s="564">
        <v>10000</v>
      </c>
      <c r="F29" s="407" t="str">
        <f>IF(C29&lt;0,"STOPP!","OK!")</f>
        <v>OK!</v>
      </c>
      <c r="G29" s="407" t="str">
        <f t="shared" si="77"/>
        <v>OK!</v>
      </c>
      <c r="H29" s="407" t="str">
        <f t="shared" si="78"/>
        <v>OK!</v>
      </c>
      <c r="I29" s="407" t="str">
        <f t="shared" si="79"/>
        <v>OK!</v>
      </c>
      <c r="J29" s="407" t="str">
        <f t="shared" si="80"/>
        <v>OK!</v>
      </c>
      <c r="K29" s="407" t="str">
        <f t="shared" si="81"/>
        <v>OK!</v>
      </c>
      <c r="L29" s="407" t="str">
        <f t="shared" si="82"/>
        <v>OK!</v>
      </c>
      <c r="M29" s="407" t="str">
        <f t="shared" si="83"/>
        <v>OK!</v>
      </c>
      <c r="N29" s="407" t="str">
        <f t="shared" si="84"/>
        <v>OK!</v>
      </c>
      <c r="O29" s="407" t="str">
        <f t="shared" si="85"/>
        <v>OK!</v>
      </c>
      <c r="P29" s="407" t="str">
        <f t="shared" si="86"/>
        <v>OK!</v>
      </c>
      <c r="Q29" s="407" t="str">
        <f t="shared" si="87"/>
        <v>OK!</v>
      </c>
      <c r="R29" s="407" t="str">
        <f t="shared" si="88"/>
        <v>OK!</v>
      </c>
      <c r="S29" s="407" t="str">
        <f t="shared" si="89"/>
        <v>OK!</v>
      </c>
      <c r="T29" s="407" t="str">
        <f t="shared" si="90"/>
        <v>OK!</v>
      </c>
    </row>
    <row r="30" spans="1:20" x14ac:dyDescent="0.15">
      <c r="A30" s="567" t="str">
        <f>A$12</f>
        <v>Angazhimet kujtesë</v>
      </c>
      <c r="B30" s="563"/>
      <c r="C30" s="563">
        <f>'(C5) Angazhimet'!D12</f>
        <v>0</v>
      </c>
      <c r="D30" s="563">
        <f>'(C5) Angazhimet'!E12</f>
        <v>0</v>
      </c>
      <c r="E30" s="563">
        <f>'(C5) Angazhimet'!F12</f>
        <v>0</v>
      </c>
      <c r="F30" s="407" t="str">
        <f>IF(C30&gt;C29,"STOPP!","OK!")</f>
        <v>OK!</v>
      </c>
      <c r="G30" s="407" t="str">
        <f t="shared" si="77"/>
        <v>OK!</v>
      </c>
      <c r="H30" s="407" t="str">
        <f t="shared" si="78"/>
        <v>OK!</v>
      </c>
      <c r="I30" s="407" t="str">
        <f t="shared" si="79"/>
        <v>OK!</v>
      </c>
      <c r="J30" s="407" t="str">
        <f t="shared" si="80"/>
        <v>OK!</v>
      </c>
      <c r="K30" s="407" t="str">
        <f t="shared" si="81"/>
        <v>OK!</v>
      </c>
      <c r="L30" s="407" t="str">
        <f t="shared" si="82"/>
        <v>OK!</v>
      </c>
      <c r="M30" s="407" t="str">
        <f t="shared" si="83"/>
        <v>OK!</v>
      </c>
      <c r="N30" s="407" t="str">
        <f t="shared" si="84"/>
        <v>OK!</v>
      </c>
      <c r="O30" s="407" t="str">
        <f t="shared" si="85"/>
        <v>OK!</v>
      </c>
      <c r="P30" s="407" t="str">
        <f t="shared" si="86"/>
        <v>OK!</v>
      </c>
      <c r="Q30" s="407" t="str">
        <f t="shared" si="87"/>
        <v>OK!</v>
      </c>
      <c r="R30" s="407" t="str">
        <f t="shared" si="88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7" t="str">
        <f>'(B2) Struktura Organizative'!A11</f>
        <v>Nënfunksioni 2</v>
      </c>
      <c r="B31" s="894" t="str">
        <f>'(B2) Struktura Organizative'!B11</f>
        <v>017 Shërbime të  huamarrjes vendore</v>
      </c>
      <c r="C31" s="895"/>
      <c r="D31" s="895"/>
      <c r="E31" s="896"/>
      <c r="G31" s="312">
        <f>C35</f>
        <v>0</v>
      </c>
      <c r="H31" s="312">
        <f t="shared" ref="H31" si="92">D35</f>
        <v>0</v>
      </c>
      <c r="I31" s="312">
        <f t="shared" ref="I31" si="93">E35</f>
        <v>0</v>
      </c>
      <c r="J31" s="312">
        <f>C32</f>
        <v>0</v>
      </c>
      <c r="K31" s="312">
        <f t="shared" ref="K31" si="94">D32</f>
        <v>0</v>
      </c>
      <c r="L31" s="312">
        <f t="shared" ref="L31" si="95">E32</f>
        <v>0</v>
      </c>
      <c r="M31" s="312">
        <f>C33</f>
        <v>0</v>
      </c>
      <c r="N31" s="312">
        <f t="shared" ref="N31" si="96">D33</f>
        <v>0</v>
      </c>
      <c r="O31" s="312">
        <f t="shared" ref="O31" si="97">E33</f>
        <v>0</v>
      </c>
      <c r="P31" s="312">
        <f>C34</f>
        <v>0</v>
      </c>
      <c r="Q31" s="312">
        <f t="shared" ref="Q31" si="98">D34</f>
        <v>0</v>
      </c>
      <c r="R31" s="312">
        <f t="shared" ref="R31" si="99">E34</f>
        <v>0</v>
      </c>
    </row>
    <row r="32" spans="1:20" x14ac:dyDescent="0.15">
      <c r="A32" s="286" t="str">
        <f>A$8</f>
        <v>Pagat dhe sigurimet shoqërore</v>
      </c>
      <c r="B32" s="286"/>
      <c r="C32" s="563">
        <f>C38+C44+C50</f>
        <v>0</v>
      </c>
      <c r="D32" s="563">
        <f t="shared" ref="D32:E32" si="100">D38+D44+D50</f>
        <v>0</v>
      </c>
      <c r="E32" s="563">
        <f t="shared" si="100"/>
        <v>0</v>
      </c>
      <c r="F32" s="407" t="str">
        <f t="shared" ref="F32:F34" si="101">IF(C32&lt;0,"STOPP!","OK!")</f>
        <v>OK!</v>
      </c>
      <c r="G32" s="407" t="str">
        <f t="shared" ref="G32:G34" si="102">IF(D32&lt;0,"STOPP!","OK!")</f>
        <v>OK!</v>
      </c>
      <c r="H32" s="407" t="str">
        <f t="shared" ref="H32:H34" si="103">IF(E32&lt;0,"STOPP!","OK!")</f>
        <v>OK!</v>
      </c>
      <c r="I32" s="407" t="str">
        <f t="shared" ref="I32:I34" si="104">IF(F32&lt;0,"STOPP!","OK!")</f>
        <v>OK!</v>
      </c>
      <c r="J32" s="407" t="str">
        <f t="shared" ref="J32:J34" si="105">IF(G32&lt;0,"STOPP!","OK!")</f>
        <v>OK!</v>
      </c>
      <c r="K32" s="407" t="str">
        <f t="shared" ref="K32:K34" si="106">IF(H32&lt;0,"STOPP!","OK!")</f>
        <v>OK!</v>
      </c>
      <c r="L32" s="407" t="str">
        <f t="shared" ref="L32:L34" si="107">IF(I32&lt;0,"STOPP!","OK!")</f>
        <v>OK!</v>
      </c>
      <c r="M32" s="407" t="str">
        <f t="shared" ref="M32:M34" si="108">IF(J32&lt;0,"STOPP!","OK!")</f>
        <v>OK!</v>
      </c>
      <c r="N32" s="407" t="str">
        <f t="shared" ref="N32:N34" si="109">IF(K32&lt;0,"STOPP!","OK!")</f>
        <v>OK!</v>
      </c>
      <c r="O32" s="407" t="str">
        <f t="shared" ref="O32:O34" si="110">IF(L32&lt;0,"STOPP!","OK!")</f>
        <v>OK!</v>
      </c>
      <c r="P32" s="407" t="str">
        <f t="shared" ref="P32:P34" si="111">IF(M32&lt;0,"STOPP!","OK!")</f>
        <v>OK!</v>
      </c>
      <c r="Q32" s="407" t="str">
        <f t="shared" ref="Q32:Q34" si="112">IF(N32&lt;0,"STOPP!","OK!")</f>
        <v>OK!</v>
      </c>
      <c r="R32" s="407" t="str">
        <f t="shared" ref="R32:R34" si="113">IF(O32&lt;0,"STOPP!","OK!")</f>
        <v>OK!</v>
      </c>
      <c r="S32" s="407" t="str">
        <f t="shared" ref="S32:S34" si="114">IF(D32&lt;0,"STOPP!","OK!")</f>
        <v>OK!</v>
      </c>
      <c r="T32" s="407" t="str">
        <f t="shared" ref="T32:T34" si="115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3">
        <f>C39+C45+C51</f>
        <v>0</v>
      </c>
      <c r="D33" s="563">
        <f t="shared" ref="D33:E33" si="116">D39+D45+D51</f>
        <v>0</v>
      </c>
      <c r="E33" s="563">
        <f t="shared" si="116"/>
        <v>0</v>
      </c>
      <c r="F33" s="407" t="str">
        <f t="shared" si="101"/>
        <v>OK!</v>
      </c>
      <c r="G33" s="407" t="str">
        <f t="shared" si="102"/>
        <v>OK!</v>
      </c>
      <c r="H33" s="407" t="str">
        <f t="shared" si="103"/>
        <v>OK!</v>
      </c>
      <c r="I33" s="407" t="str">
        <f t="shared" si="104"/>
        <v>OK!</v>
      </c>
      <c r="J33" s="407" t="str">
        <f t="shared" si="105"/>
        <v>OK!</v>
      </c>
      <c r="K33" s="407" t="str">
        <f t="shared" si="106"/>
        <v>OK!</v>
      </c>
      <c r="L33" s="407" t="str">
        <f t="shared" si="107"/>
        <v>OK!</v>
      </c>
      <c r="M33" s="407" t="str">
        <f t="shared" si="108"/>
        <v>OK!</v>
      </c>
      <c r="N33" s="407" t="str">
        <f t="shared" si="109"/>
        <v>OK!</v>
      </c>
      <c r="O33" s="407" t="str">
        <f t="shared" si="110"/>
        <v>OK!</v>
      </c>
      <c r="P33" s="407" t="str">
        <f t="shared" si="111"/>
        <v>OK!</v>
      </c>
      <c r="Q33" s="407" t="str">
        <f t="shared" si="112"/>
        <v>OK!</v>
      </c>
      <c r="R33" s="407" t="str">
        <f t="shared" si="113"/>
        <v>OK!</v>
      </c>
      <c r="S33" s="407" t="str">
        <f t="shared" si="114"/>
        <v>OK!</v>
      </c>
      <c r="T33" s="407" t="str">
        <f t="shared" si="115"/>
        <v>OK!</v>
      </c>
    </row>
    <row r="34" spans="1:20" x14ac:dyDescent="0.15">
      <c r="A34" s="565" t="str">
        <f>A$10</f>
        <v>Shpenzimet kapitale</v>
      </c>
      <c r="B34" s="566"/>
      <c r="C34" s="563">
        <f>C35-C32-C33</f>
        <v>0</v>
      </c>
      <c r="D34" s="561">
        <f>D35-D32-D33</f>
        <v>0</v>
      </c>
      <c r="E34" s="561">
        <f>E35-E32-E33</f>
        <v>0</v>
      </c>
      <c r="F34" s="407" t="str">
        <f t="shared" si="101"/>
        <v>OK!</v>
      </c>
      <c r="G34" s="407" t="str">
        <f t="shared" si="102"/>
        <v>OK!</v>
      </c>
      <c r="H34" s="407" t="str">
        <f t="shared" si="103"/>
        <v>OK!</v>
      </c>
      <c r="I34" s="407" t="str">
        <f t="shared" si="104"/>
        <v>OK!</v>
      </c>
      <c r="J34" s="407" t="str">
        <f t="shared" si="105"/>
        <v>OK!</v>
      </c>
      <c r="K34" s="407" t="str">
        <f t="shared" si="106"/>
        <v>OK!</v>
      </c>
      <c r="L34" s="407" t="str">
        <f t="shared" si="107"/>
        <v>OK!</v>
      </c>
      <c r="M34" s="407" t="str">
        <f t="shared" si="108"/>
        <v>OK!</v>
      </c>
      <c r="N34" s="407" t="str">
        <f t="shared" si="109"/>
        <v>OK!</v>
      </c>
      <c r="O34" s="407" t="str">
        <f t="shared" si="110"/>
        <v>OK!</v>
      </c>
      <c r="P34" s="407" t="str">
        <f t="shared" si="111"/>
        <v>OK!</v>
      </c>
      <c r="Q34" s="407" t="str">
        <f t="shared" si="112"/>
        <v>OK!</v>
      </c>
      <c r="R34" s="407" t="str">
        <f t="shared" si="113"/>
        <v>OK!</v>
      </c>
      <c r="S34" s="407" t="str">
        <f t="shared" si="114"/>
        <v>OK!</v>
      </c>
      <c r="T34" s="407" t="str">
        <f t="shared" si="115"/>
        <v>OK!</v>
      </c>
    </row>
    <row r="35" spans="1:20" x14ac:dyDescent="0.15">
      <c r="A35" s="555" t="str">
        <f>A$11</f>
        <v>Tavanet e përgjithshme</v>
      </c>
      <c r="B35" s="556"/>
      <c r="C35" s="563">
        <f>C41+C47+C53</f>
        <v>0</v>
      </c>
      <c r="D35" s="563">
        <f t="shared" ref="D35:E35" si="117">D41+D47+D53</f>
        <v>0</v>
      </c>
      <c r="E35" s="563">
        <f t="shared" si="117"/>
        <v>0</v>
      </c>
      <c r="F35" s="407" t="str">
        <f>IF(C35&lt;0,"STOPP!","OK!")</f>
        <v>OK!</v>
      </c>
      <c r="G35" s="407" t="str">
        <f t="shared" ref="G35:G36" si="118">IF(D35&lt;0,"STOPP!","OK!")</f>
        <v>OK!</v>
      </c>
      <c r="H35" s="407" t="str">
        <f t="shared" ref="H35:H36" si="119">IF(E35&lt;0,"STOPP!","OK!")</f>
        <v>OK!</v>
      </c>
      <c r="I35" s="407" t="str">
        <f t="shared" ref="I35:I36" si="120">IF(F35&lt;0,"STOPP!","OK!")</f>
        <v>OK!</v>
      </c>
      <c r="J35" s="407" t="str">
        <f t="shared" ref="J35:J36" si="121">IF(G35&lt;0,"STOPP!","OK!")</f>
        <v>OK!</v>
      </c>
      <c r="K35" s="407" t="str">
        <f t="shared" ref="K35:K36" si="122">IF(H35&lt;0,"STOPP!","OK!")</f>
        <v>OK!</v>
      </c>
      <c r="L35" s="407" t="str">
        <f t="shared" ref="L35:L36" si="123">IF(I35&lt;0,"STOPP!","OK!")</f>
        <v>OK!</v>
      </c>
      <c r="M35" s="407" t="str">
        <f t="shared" ref="M35:M36" si="124">IF(J35&lt;0,"STOPP!","OK!")</f>
        <v>OK!</v>
      </c>
      <c r="N35" s="407" t="str">
        <f t="shared" ref="N35:N36" si="125">IF(K35&lt;0,"STOPP!","OK!")</f>
        <v>OK!</v>
      </c>
      <c r="O35" s="407" t="str">
        <f t="shared" ref="O35:O36" si="126">IF(L35&lt;0,"STOPP!","OK!")</f>
        <v>OK!</v>
      </c>
      <c r="P35" s="407" t="str">
        <f t="shared" ref="P35:P36" si="127">IF(M35&lt;0,"STOPP!","OK!")</f>
        <v>OK!</v>
      </c>
      <c r="Q35" s="407" t="str">
        <f t="shared" ref="Q35:Q36" si="128">IF(N35&lt;0,"STOPP!","OK!")</f>
        <v>OK!</v>
      </c>
      <c r="R35" s="407" t="str">
        <f t="shared" ref="R35:R36" si="129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7" t="str">
        <f>A$12</f>
        <v>Angazhimet kujtesë</v>
      </c>
      <c r="B36" s="563"/>
      <c r="C36" s="563">
        <f>'(C5) Angazhimet'!D22</f>
        <v>0</v>
      </c>
      <c r="D36" s="561">
        <f>'(C5) Angazhimet'!E22</f>
        <v>0</v>
      </c>
      <c r="E36" s="561">
        <f>'(C5) Angazhimet'!F22</f>
        <v>0</v>
      </c>
      <c r="F36" s="407" t="str">
        <f>IF(C36&gt;C35,"STOPP!","OK!")</f>
        <v>OK!</v>
      </c>
      <c r="G36" s="407" t="str">
        <f t="shared" si="118"/>
        <v>OK!</v>
      </c>
      <c r="H36" s="407" t="str">
        <f t="shared" si="119"/>
        <v>OK!</v>
      </c>
      <c r="I36" s="407" t="str">
        <f t="shared" si="120"/>
        <v>OK!</v>
      </c>
      <c r="J36" s="407" t="str">
        <f t="shared" si="121"/>
        <v>OK!</v>
      </c>
      <c r="K36" s="407" t="str">
        <f t="shared" si="122"/>
        <v>OK!</v>
      </c>
      <c r="L36" s="407" t="str">
        <f t="shared" si="123"/>
        <v>OK!</v>
      </c>
      <c r="M36" s="407" t="str">
        <f t="shared" si="124"/>
        <v>OK!</v>
      </c>
      <c r="N36" s="407" t="str">
        <f t="shared" si="125"/>
        <v>OK!</v>
      </c>
      <c r="O36" s="407" t="str">
        <f t="shared" si="126"/>
        <v>OK!</v>
      </c>
      <c r="P36" s="407" t="str">
        <f t="shared" si="127"/>
        <v>OK!</v>
      </c>
      <c r="Q36" s="407" t="str">
        <f t="shared" si="128"/>
        <v>OK!</v>
      </c>
      <c r="R36" s="407" t="str">
        <f t="shared" si="129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8" t="str">
        <f>'(B3) Struktura Funksionale'!B15</f>
        <v>01310</v>
      </c>
      <c r="B37" s="891" t="str">
        <f>'(B3) Struktura Funksionale'!C15</f>
        <v>Planifikimi i përgjithshëm dhe Shërbimet Statistikore</v>
      </c>
      <c r="C37" s="892"/>
      <c r="D37" s="892"/>
      <c r="E37" s="893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30">IF(C38&lt;0,"STOPP!","OK!")</f>
        <v>OK!</v>
      </c>
      <c r="G38" s="407" t="str">
        <f t="shared" ref="G38:G42" si="131">IF(D38&lt;0,"STOPP!","OK!")</f>
        <v>OK!</v>
      </c>
      <c r="H38" s="407" t="str">
        <f t="shared" ref="H38:H42" si="132">IF(E38&lt;0,"STOPP!","OK!")</f>
        <v>OK!</v>
      </c>
      <c r="I38" s="407" t="str">
        <f t="shared" ref="I38:I42" si="133">IF(F38&lt;0,"STOPP!","OK!")</f>
        <v>OK!</v>
      </c>
      <c r="J38" s="407" t="str">
        <f t="shared" ref="J38:J42" si="134">IF(G38&lt;0,"STOPP!","OK!")</f>
        <v>OK!</v>
      </c>
      <c r="K38" s="407" t="str">
        <f t="shared" ref="K38:K42" si="135">IF(H38&lt;0,"STOPP!","OK!")</f>
        <v>OK!</v>
      </c>
      <c r="L38" s="407" t="str">
        <f t="shared" ref="L38:L42" si="136">IF(I38&lt;0,"STOPP!","OK!")</f>
        <v>OK!</v>
      </c>
      <c r="M38" s="407" t="str">
        <f t="shared" ref="M38:M42" si="137">IF(J38&lt;0,"STOPP!","OK!")</f>
        <v>OK!</v>
      </c>
      <c r="N38" s="407" t="str">
        <f t="shared" ref="N38:N42" si="138">IF(K38&lt;0,"STOPP!","OK!")</f>
        <v>OK!</v>
      </c>
      <c r="O38" s="407" t="str">
        <f t="shared" ref="O38:O42" si="139">IF(L38&lt;0,"STOPP!","OK!")</f>
        <v>OK!</v>
      </c>
      <c r="P38" s="407" t="str">
        <f t="shared" ref="P38:P42" si="140">IF(M38&lt;0,"STOPP!","OK!")</f>
        <v>OK!</v>
      </c>
      <c r="Q38" s="407" t="str">
        <f t="shared" ref="Q38:Q42" si="141">IF(N38&lt;0,"STOPP!","OK!")</f>
        <v>OK!</v>
      </c>
      <c r="R38" s="407" t="str">
        <f t="shared" ref="R38:R42" si="142">IF(O38&lt;0,"STOPP!","OK!")</f>
        <v>OK!</v>
      </c>
      <c r="S38" s="407" t="str">
        <f t="shared" ref="S38:S40" si="143">IF(D38&lt;0,"STOPP!","OK!")</f>
        <v>OK!</v>
      </c>
      <c r="T38" s="407" t="str">
        <f t="shared" ref="T38:T40" si="144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30"/>
        <v>OK!</v>
      </c>
      <c r="G39" s="407" t="str">
        <f t="shared" si="131"/>
        <v>OK!</v>
      </c>
      <c r="H39" s="407" t="str">
        <f t="shared" si="132"/>
        <v>OK!</v>
      </c>
      <c r="I39" s="407" t="str">
        <f t="shared" si="133"/>
        <v>OK!</v>
      </c>
      <c r="J39" s="407" t="str">
        <f t="shared" si="134"/>
        <v>OK!</v>
      </c>
      <c r="K39" s="407" t="str">
        <f t="shared" si="135"/>
        <v>OK!</v>
      </c>
      <c r="L39" s="407" t="str">
        <f t="shared" si="136"/>
        <v>OK!</v>
      </c>
      <c r="M39" s="407" t="str">
        <f t="shared" si="137"/>
        <v>OK!</v>
      </c>
      <c r="N39" s="407" t="str">
        <f t="shared" si="138"/>
        <v>OK!</v>
      </c>
      <c r="O39" s="407" t="str">
        <f t="shared" si="139"/>
        <v>OK!</v>
      </c>
      <c r="P39" s="407" t="str">
        <f t="shared" si="140"/>
        <v>OK!</v>
      </c>
      <c r="Q39" s="407" t="str">
        <f t="shared" si="141"/>
        <v>OK!</v>
      </c>
      <c r="R39" s="407" t="str">
        <f t="shared" si="142"/>
        <v>OK!</v>
      </c>
      <c r="S39" s="407" t="str">
        <f t="shared" si="143"/>
        <v>OK!</v>
      </c>
      <c r="T39" s="407" t="str">
        <f t="shared" si="144"/>
        <v>OK!</v>
      </c>
    </row>
    <row r="40" spans="1:20" hidden="1" x14ac:dyDescent="0.15">
      <c r="A40" s="565" t="str">
        <f>A$10</f>
        <v>Shpenzimet kapitale</v>
      </c>
      <c r="B40" s="566"/>
      <c r="C40" s="563">
        <f>C41-C38-C39</f>
        <v>0</v>
      </c>
      <c r="D40" s="561">
        <f>D41-D38-D39</f>
        <v>0</v>
      </c>
      <c r="E40" s="561">
        <f>E41-E38-E39</f>
        <v>0</v>
      </c>
      <c r="F40" s="407" t="str">
        <f t="shared" si="130"/>
        <v>OK!</v>
      </c>
      <c r="G40" s="407" t="str">
        <f t="shared" si="131"/>
        <v>OK!</v>
      </c>
      <c r="H40" s="407" t="str">
        <f t="shared" si="132"/>
        <v>OK!</v>
      </c>
      <c r="I40" s="407" t="str">
        <f t="shared" si="133"/>
        <v>OK!</v>
      </c>
      <c r="J40" s="407" t="str">
        <f t="shared" si="134"/>
        <v>OK!</v>
      </c>
      <c r="K40" s="407" t="str">
        <f t="shared" si="135"/>
        <v>OK!</v>
      </c>
      <c r="L40" s="407" t="str">
        <f t="shared" si="136"/>
        <v>OK!</v>
      </c>
      <c r="M40" s="407" t="str">
        <f t="shared" si="137"/>
        <v>OK!</v>
      </c>
      <c r="N40" s="407" t="str">
        <f t="shared" si="138"/>
        <v>OK!</v>
      </c>
      <c r="O40" s="407" t="str">
        <f t="shared" si="139"/>
        <v>OK!</v>
      </c>
      <c r="P40" s="407" t="str">
        <f t="shared" si="140"/>
        <v>OK!</v>
      </c>
      <c r="Q40" s="407" t="str">
        <f t="shared" si="141"/>
        <v>OK!</v>
      </c>
      <c r="R40" s="407" t="str">
        <f t="shared" si="142"/>
        <v>OK!</v>
      </c>
      <c r="S40" s="407" t="str">
        <f t="shared" si="143"/>
        <v>OK!</v>
      </c>
      <c r="T40" s="407" t="str">
        <f t="shared" si="144"/>
        <v>OK!</v>
      </c>
    </row>
    <row r="41" spans="1:20" hidden="1" x14ac:dyDescent="0.15">
      <c r="A41" s="555" t="str">
        <f>A$11</f>
        <v>Tavanet e përgjithshme</v>
      </c>
      <c r="B41" s="556"/>
      <c r="C41" s="564"/>
      <c r="D41" s="562"/>
      <c r="E41" s="562"/>
      <c r="F41" s="407" t="str">
        <f>IF(C41&lt;0,"STOPP!","OK!")</f>
        <v>OK!</v>
      </c>
      <c r="G41" s="407" t="str">
        <f t="shared" si="131"/>
        <v>OK!</v>
      </c>
      <c r="H41" s="407" t="str">
        <f t="shared" si="132"/>
        <v>OK!</v>
      </c>
      <c r="I41" s="407" t="str">
        <f t="shared" si="133"/>
        <v>OK!</v>
      </c>
      <c r="J41" s="407" t="str">
        <f t="shared" si="134"/>
        <v>OK!</v>
      </c>
      <c r="K41" s="407" t="str">
        <f t="shared" si="135"/>
        <v>OK!</v>
      </c>
      <c r="L41" s="407" t="str">
        <f t="shared" si="136"/>
        <v>OK!</v>
      </c>
      <c r="M41" s="407" t="str">
        <f t="shared" si="137"/>
        <v>OK!</v>
      </c>
      <c r="N41" s="407" t="str">
        <f t="shared" si="138"/>
        <v>OK!</v>
      </c>
      <c r="O41" s="407" t="str">
        <f t="shared" si="139"/>
        <v>OK!</v>
      </c>
      <c r="P41" s="407" t="str">
        <f t="shared" si="140"/>
        <v>OK!</v>
      </c>
      <c r="Q41" s="407" t="str">
        <f t="shared" si="141"/>
        <v>OK!</v>
      </c>
      <c r="R41" s="407" t="str">
        <f t="shared" si="142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7" t="str">
        <f>A$12</f>
        <v>Angazhimet kujtesë</v>
      </c>
      <c r="B42" s="563"/>
      <c r="C42" s="563">
        <f>'(C5) Angazhimet'!D17</f>
        <v>0</v>
      </c>
      <c r="D42" s="563">
        <f>'(C5) Angazhimet'!E17</f>
        <v>0</v>
      </c>
      <c r="E42" s="563">
        <f>'(C5) Angazhimet'!F17</f>
        <v>0</v>
      </c>
      <c r="F42" s="407" t="str">
        <f>IF(C42&gt;C41,"STOPP!","OK!")</f>
        <v>OK!</v>
      </c>
      <c r="G42" s="407" t="str">
        <f t="shared" si="131"/>
        <v>OK!</v>
      </c>
      <c r="H42" s="407" t="str">
        <f t="shared" si="132"/>
        <v>OK!</v>
      </c>
      <c r="I42" s="407" t="str">
        <f t="shared" si="133"/>
        <v>OK!</v>
      </c>
      <c r="J42" s="407" t="str">
        <f t="shared" si="134"/>
        <v>OK!</v>
      </c>
      <c r="K42" s="407" t="str">
        <f t="shared" si="135"/>
        <v>OK!</v>
      </c>
      <c r="L42" s="407" t="str">
        <f t="shared" si="136"/>
        <v>OK!</v>
      </c>
      <c r="M42" s="407" t="str">
        <f t="shared" si="137"/>
        <v>OK!</v>
      </c>
      <c r="N42" s="407" t="str">
        <f t="shared" si="138"/>
        <v>OK!</v>
      </c>
      <c r="O42" s="407" t="str">
        <f t="shared" si="139"/>
        <v>OK!</v>
      </c>
      <c r="P42" s="407" t="str">
        <f t="shared" si="140"/>
        <v>OK!</v>
      </c>
      <c r="Q42" s="407" t="str">
        <f t="shared" si="141"/>
        <v>OK!</v>
      </c>
      <c r="R42" s="407" t="str">
        <f t="shared" si="142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8" t="str">
        <f>'(B3) Struktura Funksionale'!B17</f>
        <v>01320</v>
      </c>
      <c r="B43" s="891" t="str">
        <f>'(B3) Struktura Funksionale'!C17</f>
        <v>Shërbime të tjera të përgjithshme</v>
      </c>
      <c r="C43" s="892"/>
      <c r="D43" s="892"/>
      <c r="E43" s="893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5">IF(C44&lt;0,"STOPP!","OK!")</f>
        <v>OK!</v>
      </c>
      <c r="G44" s="407" t="str">
        <f t="shared" ref="G44:G48" si="146">IF(D44&lt;0,"STOPP!","OK!")</f>
        <v>OK!</v>
      </c>
      <c r="H44" s="407" t="str">
        <f t="shared" ref="H44:H48" si="147">IF(E44&lt;0,"STOPP!","OK!")</f>
        <v>OK!</v>
      </c>
      <c r="I44" s="407" t="str">
        <f t="shared" ref="I44:I48" si="148">IF(F44&lt;0,"STOPP!","OK!")</f>
        <v>OK!</v>
      </c>
      <c r="J44" s="407" t="str">
        <f t="shared" ref="J44:J48" si="149">IF(G44&lt;0,"STOPP!","OK!")</f>
        <v>OK!</v>
      </c>
      <c r="K44" s="407" t="str">
        <f t="shared" ref="K44:K48" si="150">IF(H44&lt;0,"STOPP!","OK!")</f>
        <v>OK!</v>
      </c>
      <c r="L44" s="407" t="str">
        <f t="shared" ref="L44:L48" si="151">IF(I44&lt;0,"STOPP!","OK!")</f>
        <v>OK!</v>
      </c>
      <c r="M44" s="407" t="str">
        <f t="shared" ref="M44:M48" si="152">IF(J44&lt;0,"STOPP!","OK!")</f>
        <v>OK!</v>
      </c>
      <c r="N44" s="407" t="str">
        <f t="shared" ref="N44:N48" si="153">IF(K44&lt;0,"STOPP!","OK!")</f>
        <v>OK!</v>
      </c>
      <c r="O44" s="407" t="str">
        <f t="shared" ref="O44:O48" si="154">IF(L44&lt;0,"STOPP!","OK!")</f>
        <v>OK!</v>
      </c>
      <c r="P44" s="407" t="str">
        <f t="shared" ref="P44:P48" si="155">IF(M44&lt;0,"STOPP!","OK!")</f>
        <v>OK!</v>
      </c>
      <c r="Q44" s="407" t="str">
        <f t="shared" ref="Q44:Q48" si="156">IF(N44&lt;0,"STOPP!","OK!")</f>
        <v>OK!</v>
      </c>
      <c r="R44" s="407" t="str">
        <f t="shared" ref="R44:R48" si="157">IF(O44&lt;0,"STOPP!","OK!")</f>
        <v>OK!</v>
      </c>
      <c r="S44" s="407" t="str">
        <f t="shared" ref="S44:S46" si="158">IF(D44&lt;0,"STOPP!","OK!")</f>
        <v>OK!</v>
      </c>
      <c r="T44" s="407" t="str">
        <f t="shared" ref="T44:T46" si="159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5"/>
        <v>OK!</v>
      </c>
      <c r="G45" s="407" t="str">
        <f t="shared" si="146"/>
        <v>OK!</v>
      </c>
      <c r="H45" s="407" t="str">
        <f t="shared" si="147"/>
        <v>OK!</v>
      </c>
      <c r="I45" s="407" t="str">
        <f t="shared" si="148"/>
        <v>OK!</v>
      </c>
      <c r="J45" s="407" t="str">
        <f t="shared" si="149"/>
        <v>OK!</v>
      </c>
      <c r="K45" s="407" t="str">
        <f t="shared" si="150"/>
        <v>OK!</v>
      </c>
      <c r="L45" s="407" t="str">
        <f t="shared" si="151"/>
        <v>OK!</v>
      </c>
      <c r="M45" s="407" t="str">
        <f t="shared" si="152"/>
        <v>OK!</v>
      </c>
      <c r="N45" s="407" t="str">
        <f t="shared" si="153"/>
        <v>OK!</v>
      </c>
      <c r="O45" s="407" t="str">
        <f t="shared" si="154"/>
        <v>OK!</v>
      </c>
      <c r="P45" s="407" t="str">
        <f t="shared" si="155"/>
        <v>OK!</v>
      </c>
      <c r="Q45" s="407" t="str">
        <f t="shared" si="156"/>
        <v>OK!</v>
      </c>
      <c r="R45" s="407" t="str">
        <f t="shared" si="157"/>
        <v>OK!</v>
      </c>
      <c r="S45" s="407" t="str">
        <f t="shared" si="158"/>
        <v>OK!</v>
      </c>
      <c r="T45" s="407" t="str">
        <f t="shared" si="159"/>
        <v>OK!</v>
      </c>
    </row>
    <row r="46" spans="1:20" hidden="1" x14ac:dyDescent="0.15">
      <c r="A46" s="565" t="str">
        <f>A$10</f>
        <v>Shpenzimet kapitale</v>
      </c>
      <c r="B46" s="566"/>
      <c r="C46" s="563">
        <f>C47-C44-C45</f>
        <v>0</v>
      </c>
      <c r="D46" s="561">
        <f>D47-D44-D45</f>
        <v>0</v>
      </c>
      <c r="E46" s="561">
        <f>E47-E44-E45</f>
        <v>0</v>
      </c>
      <c r="F46" s="407" t="str">
        <f t="shared" si="145"/>
        <v>OK!</v>
      </c>
      <c r="G46" s="407" t="str">
        <f t="shared" si="146"/>
        <v>OK!</v>
      </c>
      <c r="H46" s="407" t="str">
        <f t="shared" si="147"/>
        <v>OK!</v>
      </c>
      <c r="I46" s="407" t="str">
        <f t="shared" si="148"/>
        <v>OK!</v>
      </c>
      <c r="J46" s="407" t="str">
        <f t="shared" si="149"/>
        <v>OK!</v>
      </c>
      <c r="K46" s="407" t="str">
        <f t="shared" si="150"/>
        <v>OK!</v>
      </c>
      <c r="L46" s="407" t="str">
        <f t="shared" si="151"/>
        <v>OK!</v>
      </c>
      <c r="M46" s="407" t="str">
        <f t="shared" si="152"/>
        <v>OK!</v>
      </c>
      <c r="N46" s="407" t="str">
        <f t="shared" si="153"/>
        <v>OK!</v>
      </c>
      <c r="O46" s="407" t="str">
        <f t="shared" si="154"/>
        <v>OK!</v>
      </c>
      <c r="P46" s="407" t="str">
        <f t="shared" si="155"/>
        <v>OK!</v>
      </c>
      <c r="Q46" s="407" t="str">
        <f t="shared" si="156"/>
        <v>OK!</v>
      </c>
      <c r="R46" s="407" t="str">
        <f t="shared" si="157"/>
        <v>OK!</v>
      </c>
      <c r="S46" s="407" t="str">
        <f t="shared" si="158"/>
        <v>OK!</v>
      </c>
      <c r="T46" s="407" t="str">
        <f t="shared" si="159"/>
        <v>OK!</v>
      </c>
    </row>
    <row r="47" spans="1:20" hidden="1" x14ac:dyDescent="0.15">
      <c r="A47" s="555" t="str">
        <f>A$11</f>
        <v>Tavanet e përgjithshme</v>
      </c>
      <c r="B47" s="556"/>
      <c r="C47" s="564"/>
      <c r="D47" s="562"/>
      <c r="E47" s="562"/>
      <c r="F47" s="407" t="str">
        <f>IF(C47&lt;0,"STOPP!","OK!")</f>
        <v>OK!</v>
      </c>
      <c r="G47" s="407" t="str">
        <f t="shared" si="146"/>
        <v>OK!</v>
      </c>
      <c r="H47" s="407" t="str">
        <f t="shared" si="147"/>
        <v>OK!</v>
      </c>
      <c r="I47" s="407" t="str">
        <f t="shared" si="148"/>
        <v>OK!</v>
      </c>
      <c r="J47" s="407" t="str">
        <f t="shared" si="149"/>
        <v>OK!</v>
      </c>
      <c r="K47" s="407" t="str">
        <f t="shared" si="150"/>
        <v>OK!</v>
      </c>
      <c r="L47" s="407" t="str">
        <f t="shared" si="151"/>
        <v>OK!</v>
      </c>
      <c r="M47" s="407" t="str">
        <f t="shared" si="152"/>
        <v>OK!</v>
      </c>
      <c r="N47" s="407" t="str">
        <f t="shared" si="153"/>
        <v>OK!</v>
      </c>
      <c r="O47" s="407" t="str">
        <f t="shared" si="154"/>
        <v>OK!</v>
      </c>
      <c r="P47" s="407" t="str">
        <f t="shared" si="155"/>
        <v>OK!</v>
      </c>
      <c r="Q47" s="407" t="str">
        <f t="shared" si="156"/>
        <v>OK!</v>
      </c>
      <c r="R47" s="407" t="str">
        <f t="shared" si="157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7" t="str">
        <f>A$12</f>
        <v>Angazhimet kujtesë</v>
      </c>
      <c r="B48" s="563"/>
      <c r="C48" s="563">
        <f>'(C5) Angazhimet'!D19</f>
        <v>0</v>
      </c>
      <c r="D48" s="563">
        <f>'(C5) Angazhimet'!E19</f>
        <v>0</v>
      </c>
      <c r="E48" s="563">
        <f>'(C5) Angazhimet'!F19</f>
        <v>0</v>
      </c>
      <c r="F48" s="407" t="str">
        <f>IF(C48&gt;C47,"STOPP!","OK!")</f>
        <v>OK!</v>
      </c>
      <c r="G48" s="407" t="str">
        <f t="shared" si="146"/>
        <v>OK!</v>
      </c>
      <c r="H48" s="407" t="str">
        <f t="shared" si="147"/>
        <v>OK!</v>
      </c>
      <c r="I48" s="407" t="str">
        <f t="shared" si="148"/>
        <v>OK!</v>
      </c>
      <c r="J48" s="407" t="str">
        <f t="shared" si="149"/>
        <v>OK!</v>
      </c>
      <c r="K48" s="407" t="str">
        <f t="shared" si="150"/>
        <v>OK!</v>
      </c>
      <c r="L48" s="407" t="str">
        <f t="shared" si="151"/>
        <v>OK!</v>
      </c>
      <c r="M48" s="407" t="str">
        <f t="shared" si="152"/>
        <v>OK!</v>
      </c>
      <c r="N48" s="407" t="str">
        <f t="shared" si="153"/>
        <v>OK!</v>
      </c>
      <c r="O48" s="407" t="str">
        <f t="shared" si="154"/>
        <v>OK!</v>
      </c>
      <c r="P48" s="407" t="str">
        <f t="shared" si="155"/>
        <v>OK!</v>
      </c>
      <c r="Q48" s="407" t="str">
        <f t="shared" si="156"/>
        <v>OK!</v>
      </c>
      <c r="R48" s="407" t="str">
        <f t="shared" si="157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8" t="str">
        <f>'(B3) Struktura Funksionale'!B18</f>
        <v>01710</v>
      </c>
      <c r="B49" s="898" t="str">
        <f>'(B3) Struktura Funksionale'!C18</f>
        <v>Pagesa për shërbimin e borxhit të brendshëm</v>
      </c>
      <c r="C49" s="899"/>
      <c r="D49" s="899"/>
      <c r="E49" s="900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60">IF(C50&lt;0,"STOPP!","OK!")</f>
        <v>OK!</v>
      </c>
      <c r="G50" s="407" t="str">
        <f t="shared" ref="G50:G54" si="161">IF(D50&lt;0,"STOPP!","OK!")</f>
        <v>OK!</v>
      </c>
      <c r="H50" s="407" t="str">
        <f t="shared" ref="H50:H54" si="162">IF(E50&lt;0,"STOPP!","OK!")</f>
        <v>OK!</v>
      </c>
      <c r="I50" s="407" t="str">
        <f t="shared" ref="I50:I54" si="163">IF(F50&lt;0,"STOPP!","OK!")</f>
        <v>OK!</v>
      </c>
      <c r="J50" s="407" t="str">
        <f t="shared" ref="J50:J54" si="164">IF(G50&lt;0,"STOPP!","OK!")</f>
        <v>OK!</v>
      </c>
      <c r="K50" s="407" t="str">
        <f t="shared" ref="K50:K54" si="165">IF(H50&lt;0,"STOPP!","OK!")</f>
        <v>OK!</v>
      </c>
      <c r="L50" s="407" t="str">
        <f t="shared" ref="L50:L54" si="166">IF(I50&lt;0,"STOPP!","OK!")</f>
        <v>OK!</v>
      </c>
      <c r="M50" s="407" t="str">
        <f t="shared" ref="M50:M54" si="167">IF(J50&lt;0,"STOPP!","OK!")</f>
        <v>OK!</v>
      </c>
      <c r="N50" s="407" t="str">
        <f t="shared" ref="N50:N54" si="168">IF(K50&lt;0,"STOPP!","OK!")</f>
        <v>OK!</v>
      </c>
      <c r="O50" s="407" t="str">
        <f t="shared" ref="O50:O54" si="169">IF(L50&lt;0,"STOPP!","OK!")</f>
        <v>OK!</v>
      </c>
      <c r="P50" s="407" t="str">
        <f t="shared" ref="P50:P54" si="170">IF(M50&lt;0,"STOPP!","OK!")</f>
        <v>OK!</v>
      </c>
      <c r="Q50" s="407" t="str">
        <f t="shared" ref="Q50:Q54" si="171">IF(N50&lt;0,"STOPP!","OK!")</f>
        <v>OK!</v>
      </c>
      <c r="R50" s="407" t="str">
        <f t="shared" ref="R50:R54" si="172">IF(O50&lt;0,"STOPP!","OK!")</f>
        <v>OK!</v>
      </c>
      <c r="S50" s="407" t="str">
        <f t="shared" ref="S50:S52" si="173">IF(D50&lt;0,"STOPP!","OK!")</f>
        <v>OK!</v>
      </c>
      <c r="T50" s="407" t="str">
        <f t="shared" ref="T50:T52" si="174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7" t="str">
        <f t="shared" si="160"/>
        <v>OK!</v>
      </c>
      <c r="G51" s="407" t="str">
        <f t="shared" si="161"/>
        <v>OK!</v>
      </c>
      <c r="H51" s="407" t="str">
        <f t="shared" si="162"/>
        <v>OK!</v>
      </c>
      <c r="I51" s="407" t="str">
        <f t="shared" si="163"/>
        <v>OK!</v>
      </c>
      <c r="J51" s="407" t="str">
        <f t="shared" si="164"/>
        <v>OK!</v>
      </c>
      <c r="K51" s="407" t="str">
        <f t="shared" si="165"/>
        <v>OK!</v>
      </c>
      <c r="L51" s="407" t="str">
        <f t="shared" si="166"/>
        <v>OK!</v>
      </c>
      <c r="M51" s="407" t="str">
        <f t="shared" si="167"/>
        <v>OK!</v>
      </c>
      <c r="N51" s="407" t="str">
        <f t="shared" si="168"/>
        <v>OK!</v>
      </c>
      <c r="O51" s="407" t="str">
        <f t="shared" si="169"/>
        <v>OK!</v>
      </c>
      <c r="P51" s="407" t="str">
        <f t="shared" si="170"/>
        <v>OK!</v>
      </c>
      <c r="Q51" s="407" t="str">
        <f t="shared" si="171"/>
        <v>OK!</v>
      </c>
      <c r="R51" s="407" t="str">
        <f t="shared" si="172"/>
        <v>OK!</v>
      </c>
      <c r="S51" s="407" t="str">
        <f t="shared" si="173"/>
        <v>OK!</v>
      </c>
      <c r="T51" s="407" t="str">
        <f t="shared" si="174"/>
        <v>OK!</v>
      </c>
    </row>
    <row r="52" spans="1:20" x14ac:dyDescent="0.15">
      <c r="A52" s="565" t="str">
        <f>A$10</f>
        <v>Shpenzimet kapitale</v>
      </c>
      <c r="B52" s="566"/>
      <c r="C52" s="563">
        <f>C53-C50-C51</f>
        <v>0</v>
      </c>
      <c r="D52" s="561">
        <f>D53-D50-D51</f>
        <v>0</v>
      </c>
      <c r="E52" s="561">
        <f>E53-E50-E51</f>
        <v>0</v>
      </c>
      <c r="F52" s="407" t="str">
        <f t="shared" si="160"/>
        <v>OK!</v>
      </c>
      <c r="G52" s="407" t="str">
        <f t="shared" si="161"/>
        <v>OK!</v>
      </c>
      <c r="H52" s="407" t="str">
        <f t="shared" si="162"/>
        <v>OK!</v>
      </c>
      <c r="I52" s="407" t="str">
        <f t="shared" si="163"/>
        <v>OK!</v>
      </c>
      <c r="J52" s="407" t="str">
        <f t="shared" si="164"/>
        <v>OK!</v>
      </c>
      <c r="K52" s="407" t="str">
        <f t="shared" si="165"/>
        <v>OK!</v>
      </c>
      <c r="L52" s="407" t="str">
        <f t="shared" si="166"/>
        <v>OK!</v>
      </c>
      <c r="M52" s="407" t="str">
        <f t="shared" si="167"/>
        <v>OK!</v>
      </c>
      <c r="N52" s="407" t="str">
        <f t="shared" si="168"/>
        <v>OK!</v>
      </c>
      <c r="O52" s="407" t="str">
        <f t="shared" si="169"/>
        <v>OK!</v>
      </c>
      <c r="P52" s="407" t="str">
        <f t="shared" si="170"/>
        <v>OK!</v>
      </c>
      <c r="Q52" s="407" t="str">
        <f t="shared" si="171"/>
        <v>OK!</v>
      </c>
      <c r="R52" s="407" t="str">
        <f t="shared" si="172"/>
        <v>OK!</v>
      </c>
      <c r="S52" s="407" t="str">
        <f t="shared" si="173"/>
        <v>OK!</v>
      </c>
      <c r="T52" s="407" t="str">
        <f t="shared" si="174"/>
        <v>OK!</v>
      </c>
    </row>
    <row r="53" spans="1:20" x14ac:dyDescent="0.15">
      <c r="A53" s="555" t="str">
        <f>A$11</f>
        <v>Tavanet e përgjithshme</v>
      </c>
      <c r="B53" s="556"/>
      <c r="C53" s="564"/>
      <c r="D53" s="562"/>
      <c r="E53" s="562"/>
      <c r="F53" s="407" t="str">
        <f>IF(C53&lt;0,"STOPP!","OK!")</f>
        <v>OK!</v>
      </c>
      <c r="G53" s="407" t="str">
        <f t="shared" si="161"/>
        <v>OK!</v>
      </c>
      <c r="H53" s="407" t="str">
        <f t="shared" si="162"/>
        <v>OK!</v>
      </c>
      <c r="I53" s="407" t="str">
        <f t="shared" si="163"/>
        <v>OK!</v>
      </c>
      <c r="J53" s="407" t="str">
        <f t="shared" si="164"/>
        <v>OK!</v>
      </c>
      <c r="K53" s="407" t="str">
        <f t="shared" si="165"/>
        <v>OK!</v>
      </c>
      <c r="L53" s="407" t="str">
        <f t="shared" si="166"/>
        <v>OK!</v>
      </c>
      <c r="M53" s="407" t="str">
        <f t="shared" si="167"/>
        <v>OK!</v>
      </c>
      <c r="N53" s="407" t="str">
        <f t="shared" si="168"/>
        <v>OK!</v>
      </c>
      <c r="O53" s="407" t="str">
        <f t="shared" si="169"/>
        <v>OK!</v>
      </c>
      <c r="P53" s="407" t="str">
        <f t="shared" si="170"/>
        <v>OK!</v>
      </c>
      <c r="Q53" s="407" t="str">
        <f t="shared" si="171"/>
        <v>OK!</v>
      </c>
      <c r="R53" s="407" t="str">
        <f t="shared" si="172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7" t="str">
        <f>A$12</f>
        <v>Angazhimet kujtesë</v>
      </c>
      <c r="B54" s="563"/>
      <c r="C54" s="563">
        <f>'(C5) Angazhimet'!D20</f>
        <v>0</v>
      </c>
      <c r="D54" s="563">
        <f>'(C5) Angazhimet'!E20</f>
        <v>0</v>
      </c>
      <c r="E54" s="563">
        <f>'(C5) Angazhimet'!F20</f>
        <v>0</v>
      </c>
      <c r="F54" s="407" t="str">
        <f>IF(C54&gt;C53,"STOPP!","OK!")</f>
        <v>OK!</v>
      </c>
      <c r="G54" s="407" t="str">
        <f t="shared" si="161"/>
        <v>OK!</v>
      </c>
      <c r="H54" s="407" t="str">
        <f t="shared" si="162"/>
        <v>OK!</v>
      </c>
      <c r="I54" s="407" t="str">
        <f t="shared" si="163"/>
        <v>OK!</v>
      </c>
      <c r="J54" s="407" t="str">
        <f t="shared" si="164"/>
        <v>OK!</v>
      </c>
      <c r="K54" s="407" t="str">
        <f t="shared" si="165"/>
        <v>OK!</v>
      </c>
      <c r="L54" s="407" t="str">
        <f t="shared" si="166"/>
        <v>OK!</v>
      </c>
      <c r="M54" s="407" t="str">
        <f t="shared" si="167"/>
        <v>OK!</v>
      </c>
      <c r="N54" s="407" t="str">
        <f t="shared" si="168"/>
        <v>OK!</v>
      </c>
      <c r="O54" s="407" t="str">
        <f t="shared" si="169"/>
        <v>OK!</v>
      </c>
      <c r="P54" s="407" t="str">
        <f t="shared" si="170"/>
        <v>OK!</v>
      </c>
      <c r="Q54" s="407" t="str">
        <f t="shared" si="171"/>
        <v>OK!</v>
      </c>
      <c r="R54" s="407" t="str">
        <f t="shared" si="172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6" t="str">
        <f>'(B2) Struktura Organizative'!A13</f>
        <v>Nënfunksioni 3</v>
      </c>
      <c r="B55" s="894" t="str">
        <f>'(B2) Struktura Organizative'!B13</f>
        <v>031 Shërbimet Policore</v>
      </c>
      <c r="C55" s="895"/>
      <c r="D55" s="895"/>
      <c r="E55" s="896"/>
      <c r="G55" s="312">
        <f>C59</f>
        <v>7670</v>
      </c>
      <c r="H55" s="312">
        <f t="shared" ref="H55" si="175">D59</f>
        <v>7670</v>
      </c>
      <c r="I55" s="312">
        <f t="shared" ref="I55" si="176">E59</f>
        <v>7670</v>
      </c>
      <c r="J55" s="312">
        <f>C56</f>
        <v>7620</v>
      </c>
      <c r="K55" s="312">
        <f t="shared" ref="K55" si="177">D56</f>
        <v>7620</v>
      </c>
      <c r="L55" s="312">
        <f t="shared" ref="L55" si="178">E56</f>
        <v>7620</v>
      </c>
      <c r="M55" s="312">
        <f>C57</f>
        <v>50</v>
      </c>
      <c r="N55" s="312">
        <f t="shared" ref="N55" si="179">D57</f>
        <v>50</v>
      </c>
      <c r="O55" s="312">
        <f t="shared" ref="O55" si="180">E57</f>
        <v>50</v>
      </c>
      <c r="P55" s="312">
        <f>C58</f>
        <v>0</v>
      </c>
      <c r="Q55" s="312">
        <f t="shared" ref="Q55" si="181">D58</f>
        <v>0</v>
      </c>
      <c r="R55" s="312">
        <f t="shared" ref="R55" si="182">E58</f>
        <v>0</v>
      </c>
    </row>
    <row r="56" spans="1:20" x14ac:dyDescent="0.15">
      <c r="A56" s="286" t="str">
        <f>A$8</f>
        <v>Pagat dhe sigurimet shoqërore</v>
      </c>
      <c r="B56" s="286"/>
      <c r="C56" s="563">
        <f>C62</f>
        <v>7620</v>
      </c>
      <c r="D56" s="563">
        <f t="shared" ref="D56:E56" si="183">D62</f>
        <v>7620</v>
      </c>
      <c r="E56" s="563">
        <f t="shared" si="183"/>
        <v>7620</v>
      </c>
      <c r="F56" s="407" t="str">
        <f t="shared" ref="F56:F58" si="184">IF(C56&lt;0,"STOPP!","OK!")</f>
        <v>OK!</v>
      </c>
      <c r="G56" s="407" t="str">
        <f t="shared" ref="G56:G58" si="185">IF(D56&lt;0,"STOPP!","OK!")</f>
        <v>OK!</v>
      </c>
      <c r="H56" s="407" t="str">
        <f t="shared" ref="H56:H58" si="186">IF(E56&lt;0,"STOPP!","OK!")</f>
        <v>OK!</v>
      </c>
      <c r="I56" s="407" t="str">
        <f t="shared" ref="I56:I58" si="187">IF(F56&lt;0,"STOPP!","OK!")</f>
        <v>OK!</v>
      </c>
      <c r="J56" s="407" t="str">
        <f t="shared" ref="J56:J58" si="188">IF(G56&lt;0,"STOPP!","OK!")</f>
        <v>OK!</v>
      </c>
      <c r="K56" s="407" t="str">
        <f t="shared" ref="K56:K58" si="189">IF(H56&lt;0,"STOPP!","OK!")</f>
        <v>OK!</v>
      </c>
      <c r="L56" s="407" t="str">
        <f t="shared" ref="L56:L58" si="190">IF(I56&lt;0,"STOPP!","OK!")</f>
        <v>OK!</v>
      </c>
      <c r="M56" s="407" t="str">
        <f t="shared" ref="M56:M58" si="191">IF(J56&lt;0,"STOPP!","OK!")</f>
        <v>OK!</v>
      </c>
      <c r="N56" s="407" t="str">
        <f t="shared" ref="N56:N58" si="192">IF(K56&lt;0,"STOPP!","OK!")</f>
        <v>OK!</v>
      </c>
      <c r="O56" s="407" t="str">
        <f t="shared" ref="O56:O58" si="193">IF(L56&lt;0,"STOPP!","OK!")</f>
        <v>OK!</v>
      </c>
      <c r="P56" s="407" t="str">
        <f t="shared" ref="P56:P58" si="194">IF(M56&lt;0,"STOPP!","OK!")</f>
        <v>OK!</v>
      </c>
      <c r="Q56" s="407" t="str">
        <f t="shared" ref="Q56:Q58" si="195">IF(N56&lt;0,"STOPP!","OK!")</f>
        <v>OK!</v>
      </c>
      <c r="R56" s="407" t="str">
        <f t="shared" ref="R56:R58" si="196">IF(O56&lt;0,"STOPP!","OK!")</f>
        <v>OK!</v>
      </c>
      <c r="S56" s="407" t="str">
        <f t="shared" ref="S56:S58" si="197">IF(D56&lt;0,"STOPP!","OK!")</f>
        <v>OK!</v>
      </c>
      <c r="T56" s="407" t="str">
        <f t="shared" ref="T56:T58" si="198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3">
        <f>C63</f>
        <v>50</v>
      </c>
      <c r="D57" s="563">
        <f t="shared" ref="D57:E57" si="199">D63</f>
        <v>50</v>
      </c>
      <c r="E57" s="563">
        <f t="shared" si="199"/>
        <v>50</v>
      </c>
      <c r="F57" s="407" t="str">
        <f t="shared" si="184"/>
        <v>OK!</v>
      </c>
      <c r="G57" s="407" t="str">
        <f t="shared" si="185"/>
        <v>OK!</v>
      </c>
      <c r="H57" s="407" t="str">
        <f t="shared" si="186"/>
        <v>OK!</v>
      </c>
      <c r="I57" s="407" t="str">
        <f t="shared" si="187"/>
        <v>OK!</v>
      </c>
      <c r="J57" s="407" t="str">
        <f t="shared" si="188"/>
        <v>OK!</v>
      </c>
      <c r="K57" s="407" t="str">
        <f t="shared" si="189"/>
        <v>OK!</v>
      </c>
      <c r="L57" s="407" t="str">
        <f t="shared" si="190"/>
        <v>OK!</v>
      </c>
      <c r="M57" s="407" t="str">
        <f t="shared" si="191"/>
        <v>OK!</v>
      </c>
      <c r="N57" s="407" t="str">
        <f t="shared" si="192"/>
        <v>OK!</v>
      </c>
      <c r="O57" s="407" t="str">
        <f t="shared" si="193"/>
        <v>OK!</v>
      </c>
      <c r="P57" s="407" t="str">
        <f t="shared" si="194"/>
        <v>OK!</v>
      </c>
      <c r="Q57" s="407" t="str">
        <f t="shared" si="195"/>
        <v>OK!</v>
      </c>
      <c r="R57" s="407" t="str">
        <f t="shared" si="196"/>
        <v>OK!</v>
      </c>
      <c r="S57" s="407" t="str">
        <f t="shared" si="197"/>
        <v>OK!</v>
      </c>
      <c r="T57" s="407" t="str">
        <f t="shared" si="198"/>
        <v>OK!</v>
      </c>
    </row>
    <row r="58" spans="1:20" x14ac:dyDescent="0.15">
      <c r="A58" s="565" t="str">
        <f>A$10</f>
        <v>Shpenzimet kapitale</v>
      </c>
      <c r="B58" s="566"/>
      <c r="C58" s="563">
        <f>C59-C56-C57</f>
        <v>0</v>
      </c>
      <c r="D58" s="561">
        <f>D59-D56-D57</f>
        <v>0</v>
      </c>
      <c r="E58" s="561">
        <f>E59-E56-E57</f>
        <v>0</v>
      </c>
      <c r="F58" s="407" t="str">
        <f t="shared" si="184"/>
        <v>OK!</v>
      </c>
      <c r="G58" s="407" t="str">
        <f t="shared" si="185"/>
        <v>OK!</v>
      </c>
      <c r="H58" s="407" t="str">
        <f t="shared" si="186"/>
        <v>OK!</v>
      </c>
      <c r="I58" s="407" t="str">
        <f t="shared" si="187"/>
        <v>OK!</v>
      </c>
      <c r="J58" s="407" t="str">
        <f t="shared" si="188"/>
        <v>OK!</v>
      </c>
      <c r="K58" s="407" t="str">
        <f t="shared" si="189"/>
        <v>OK!</v>
      </c>
      <c r="L58" s="407" t="str">
        <f t="shared" si="190"/>
        <v>OK!</v>
      </c>
      <c r="M58" s="407" t="str">
        <f t="shared" si="191"/>
        <v>OK!</v>
      </c>
      <c r="N58" s="407" t="str">
        <f t="shared" si="192"/>
        <v>OK!</v>
      </c>
      <c r="O58" s="407" t="str">
        <f t="shared" si="193"/>
        <v>OK!</v>
      </c>
      <c r="P58" s="407" t="str">
        <f t="shared" si="194"/>
        <v>OK!</v>
      </c>
      <c r="Q58" s="407" t="str">
        <f t="shared" si="195"/>
        <v>OK!</v>
      </c>
      <c r="R58" s="407" t="str">
        <f t="shared" si="196"/>
        <v>OK!</v>
      </c>
      <c r="S58" s="407" t="str">
        <f t="shared" si="197"/>
        <v>OK!</v>
      </c>
      <c r="T58" s="407" t="str">
        <f t="shared" si="198"/>
        <v>OK!</v>
      </c>
    </row>
    <row r="59" spans="1:20" x14ac:dyDescent="0.15">
      <c r="A59" s="555" t="str">
        <f>A$11</f>
        <v>Tavanet e përgjithshme</v>
      </c>
      <c r="B59" s="556"/>
      <c r="C59" s="563">
        <f>C65</f>
        <v>7670</v>
      </c>
      <c r="D59" s="563">
        <f t="shared" ref="D59:E59" si="200">D65</f>
        <v>7670</v>
      </c>
      <c r="E59" s="563">
        <f t="shared" si="200"/>
        <v>7670</v>
      </c>
      <c r="F59" s="407" t="str">
        <f>IF(C59&lt;0,"STOPP!","OK!")</f>
        <v>OK!</v>
      </c>
      <c r="G59" s="407" t="str">
        <f t="shared" ref="G59:G60" si="201">IF(D59&lt;0,"STOPP!","OK!")</f>
        <v>OK!</v>
      </c>
      <c r="H59" s="407" t="str">
        <f t="shared" ref="H59:H60" si="202">IF(E59&lt;0,"STOPP!","OK!")</f>
        <v>OK!</v>
      </c>
      <c r="I59" s="407" t="str">
        <f t="shared" ref="I59:I60" si="203">IF(F59&lt;0,"STOPP!","OK!")</f>
        <v>OK!</v>
      </c>
      <c r="J59" s="407" t="str">
        <f t="shared" ref="J59:J60" si="204">IF(G59&lt;0,"STOPP!","OK!")</f>
        <v>OK!</v>
      </c>
      <c r="K59" s="407" t="str">
        <f t="shared" ref="K59:K60" si="205">IF(H59&lt;0,"STOPP!","OK!")</f>
        <v>OK!</v>
      </c>
      <c r="L59" s="407" t="str">
        <f t="shared" ref="L59:L60" si="206">IF(I59&lt;0,"STOPP!","OK!")</f>
        <v>OK!</v>
      </c>
      <c r="M59" s="407" t="str">
        <f t="shared" ref="M59:M60" si="207">IF(J59&lt;0,"STOPP!","OK!")</f>
        <v>OK!</v>
      </c>
      <c r="N59" s="407" t="str">
        <f t="shared" ref="N59:N60" si="208">IF(K59&lt;0,"STOPP!","OK!")</f>
        <v>OK!</v>
      </c>
      <c r="O59" s="407" t="str">
        <f t="shared" ref="O59:O60" si="209">IF(L59&lt;0,"STOPP!","OK!")</f>
        <v>OK!</v>
      </c>
      <c r="P59" s="407" t="str">
        <f t="shared" ref="P59:P60" si="210">IF(M59&lt;0,"STOPP!","OK!")</f>
        <v>OK!</v>
      </c>
      <c r="Q59" s="407" t="str">
        <f t="shared" ref="Q59:Q60" si="211">IF(N59&lt;0,"STOPP!","OK!")</f>
        <v>OK!</v>
      </c>
      <c r="R59" s="407" t="str">
        <f t="shared" ref="R59:R60" si="212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7" t="str">
        <f>A$12</f>
        <v>Angazhimet kujtesë</v>
      </c>
      <c r="B60" s="563"/>
      <c r="C60" s="563">
        <f>'(C5) Angazhimet'!D27</f>
        <v>0</v>
      </c>
      <c r="D60" s="561">
        <f>'(C5) Angazhimet'!E27</f>
        <v>0</v>
      </c>
      <c r="E60" s="561">
        <f>'(C5) Angazhimet'!F27</f>
        <v>0</v>
      </c>
      <c r="F60" s="407" t="str">
        <f>IF(C60&gt;C59,"STOPP!","OK!")</f>
        <v>OK!</v>
      </c>
      <c r="G60" s="407" t="str">
        <f t="shared" si="201"/>
        <v>OK!</v>
      </c>
      <c r="H60" s="407" t="str">
        <f t="shared" si="202"/>
        <v>OK!</v>
      </c>
      <c r="I60" s="407" t="str">
        <f t="shared" si="203"/>
        <v>OK!</v>
      </c>
      <c r="J60" s="407" t="str">
        <f t="shared" si="204"/>
        <v>OK!</v>
      </c>
      <c r="K60" s="407" t="str">
        <f t="shared" si="205"/>
        <v>OK!</v>
      </c>
      <c r="L60" s="407" t="str">
        <f t="shared" si="206"/>
        <v>OK!</v>
      </c>
      <c r="M60" s="407" t="str">
        <f t="shared" si="207"/>
        <v>OK!</v>
      </c>
      <c r="N60" s="407" t="str">
        <f t="shared" si="208"/>
        <v>OK!</v>
      </c>
      <c r="O60" s="407" t="str">
        <f t="shared" si="209"/>
        <v>OK!</v>
      </c>
      <c r="P60" s="407" t="str">
        <f t="shared" si="210"/>
        <v>OK!</v>
      </c>
      <c r="Q60" s="407" t="str">
        <f t="shared" si="211"/>
        <v>OK!</v>
      </c>
      <c r="R60" s="407" t="str">
        <f t="shared" si="212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7" t="str">
        <f>'(B3) Struktura Funksionale'!B22</f>
        <v>03140</v>
      </c>
      <c r="B61" s="891" t="str">
        <f>'(B3) Struktura Funksionale'!C22</f>
        <v>Shërbimet e Policisë Vendore</v>
      </c>
      <c r="C61" s="892"/>
      <c r="D61" s="892"/>
      <c r="E61" s="893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>
        <f>6529+1091</f>
        <v>7620</v>
      </c>
      <c r="D62" s="287">
        <f t="shared" ref="D62:E62" si="213">6529+1091</f>
        <v>7620</v>
      </c>
      <c r="E62" s="287">
        <f t="shared" si="213"/>
        <v>7620</v>
      </c>
      <c r="F62" s="407" t="str">
        <f t="shared" ref="F62:F64" si="214">IF(C62&lt;0,"STOPP!","OK!")</f>
        <v>OK!</v>
      </c>
      <c r="G62" s="407" t="str">
        <f t="shared" ref="G62:G66" si="215">IF(D62&lt;0,"STOPP!","OK!")</f>
        <v>OK!</v>
      </c>
      <c r="H62" s="407" t="str">
        <f t="shared" ref="H62:H66" si="216">IF(E62&lt;0,"STOPP!","OK!")</f>
        <v>OK!</v>
      </c>
      <c r="I62" s="407" t="str">
        <f t="shared" ref="I62:I66" si="217">IF(F62&lt;0,"STOPP!","OK!")</f>
        <v>OK!</v>
      </c>
      <c r="J62" s="407" t="str">
        <f t="shared" ref="J62:J66" si="218">IF(G62&lt;0,"STOPP!","OK!")</f>
        <v>OK!</v>
      </c>
      <c r="K62" s="407" t="str">
        <f t="shared" ref="K62:K66" si="219">IF(H62&lt;0,"STOPP!","OK!")</f>
        <v>OK!</v>
      </c>
      <c r="L62" s="407" t="str">
        <f t="shared" ref="L62:L66" si="220">IF(I62&lt;0,"STOPP!","OK!")</f>
        <v>OK!</v>
      </c>
      <c r="M62" s="407" t="str">
        <f t="shared" ref="M62:M66" si="221">IF(J62&lt;0,"STOPP!","OK!")</f>
        <v>OK!</v>
      </c>
      <c r="N62" s="407" t="str">
        <f t="shared" ref="N62:N66" si="222">IF(K62&lt;0,"STOPP!","OK!")</f>
        <v>OK!</v>
      </c>
      <c r="O62" s="407" t="str">
        <f t="shared" ref="O62:O66" si="223">IF(L62&lt;0,"STOPP!","OK!")</f>
        <v>OK!</v>
      </c>
      <c r="P62" s="407" t="str">
        <f t="shared" ref="P62:P66" si="224">IF(M62&lt;0,"STOPP!","OK!")</f>
        <v>OK!</v>
      </c>
      <c r="Q62" s="407" t="str">
        <f t="shared" ref="Q62:Q66" si="225">IF(N62&lt;0,"STOPP!","OK!")</f>
        <v>OK!</v>
      </c>
      <c r="R62" s="407" t="str">
        <f t="shared" ref="R62:R66" si="226">IF(O62&lt;0,"STOPP!","OK!")</f>
        <v>OK!</v>
      </c>
      <c r="S62" s="407" t="str">
        <f t="shared" ref="S62:S64" si="227">IF(D62&lt;0,"STOPP!","OK!")</f>
        <v>OK!</v>
      </c>
      <c r="T62" s="407" t="str">
        <f t="shared" ref="T62:T64" si="228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>
        <v>50</v>
      </c>
      <c r="D63" s="288">
        <v>50</v>
      </c>
      <c r="E63" s="288">
        <v>50</v>
      </c>
      <c r="F63" s="407" t="str">
        <f t="shared" si="214"/>
        <v>OK!</v>
      </c>
      <c r="G63" s="407" t="str">
        <f t="shared" si="215"/>
        <v>OK!</v>
      </c>
      <c r="H63" s="407" t="str">
        <f t="shared" si="216"/>
        <v>OK!</v>
      </c>
      <c r="I63" s="407" t="str">
        <f t="shared" si="217"/>
        <v>OK!</v>
      </c>
      <c r="J63" s="407" t="str">
        <f t="shared" si="218"/>
        <v>OK!</v>
      </c>
      <c r="K63" s="407" t="str">
        <f t="shared" si="219"/>
        <v>OK!</v>
      </c>
      <c r="L63" s="407" t="str">
        <f t="shared" si="220"/>
        <v>OK!</v>
      </c>
      <c r="M63" s="407" t="str">
        <f t="shared" si="221"/>
        <v>OK!</v>
      </c>
      <c r="N63" s="407" t="str">
        <f t="shared" si="222"/>
        <v>OK!</v>
      </c>
      <c r="O63" s="407" t="str">
        <f t="shared" si="223"/>
        <v>OK!</v>
      </c>
      <c r="P63" s="407" t="str">
        <f t="shared" si="224"/>
        <v>OK!</v>
      </c>
      <c r="Q63" s="407" t="str">
        <f t="shared" si="225"/>
        <v>OK!</v>
      </c>
      <c r="R63" s="407" t="str">
        <f t="shared" si="226"/>
        <v>OK!</v>
      </c>
      <c r="S63" s="407" t="str">
        <f t="shared" si="227"/>
        <v>OK!</v>
      </c>
      <c r="T63" s="407" t="str">
        <f t="shared" si="228"/>
        <v>OK!</v>
      </c>
    </row>
    <row r="64" spans="1:20" x14ac:dyDescent="0.15">
      <c r="A64" s="565" t="str">
        <f>A$10</f>
        <v>Shpenzimet kapitale</v>
      </c>
      <c r="B64" s="566"/>
      <c r="C64" s="563">
        <f>C65-C62-C63</f>
        <v>0</v>
      </c>
      <c r="D64" s="561">
        <f>D65-D62-D63</f>
        <v>0</v>
      </c>
      <c r="E64" s="561">
        <f>E65-E62-E63</f>
        <v>0</v>
      </c>
      <c r="F64" s="407" t="str">
        <f t="shared" si="214"/>
        <v>OK!</v>
      </c>
      <c r="G64" s="407" t="str">
        <f t="shared" si="215"/>
        <v>OK!</v>
      </c>
      <c r="H64" s="407" t="str">
        <f t="shared" si="216"/>
        <v>OK!</v>
      </c>
      <c r="I64" s="407" t="str">
        <f t="shared" si="217"/>
        <v>OK!</v>
      </c>
      <c r="J64" s="407" t="str">
        <f t="shared" si="218"/>
        <v>OK!</v>
      </c>
      <c r="K64" s="407" t="str">
        <f t="shared" si="219"/>
        <v>OK!</v>
      </c>
      <c r="L64" s="407" t="str">
        <f t="shared" si="220"/>
        <v>OK!</v>
      </c>
      <c r="M64" s="407" t="str">
        <f t="shared" si="221"/>
        <v>OK!</v>
      </c>
      <c r="N64" s="407" t="str">
        <f t="shared" si="222"/>
        <v>OK!</v>
      </c>
      <c r="O64" s="407" t="str">
        <f t="shared" si="223"/>
        <v>OK!</v>
      </c>
      <c r="P64" s="407" t="str">
        <f t="shared" si="224"/>
        <v>OK!</v>
      </c>
      <c r="Q64" s="407" t="str">
        <f t="shared" si="225"/>
        <v>OK!</v>
      </c>
      <c r="R64" s="407" t="str">
        <f t="shared" si="226"/>
        <v>OK!</v>
      </c>
      <c r="S64" s="407" t="str">
        <f t="shared" si="227"/>
        <v>OK!</v>
      </c>
      <c r="T64" s="407" t="str">
        <f t="shared" si="228"/>
        <v>OK!</v>
      </c>
    </row>
    <row r="65" spans="1:20" x14ac:dyDescent="0.15">
      <c r="A65" s="555" t="str">
        <f>A$11</f>
        <v>Tavanet e përgjithshme</v>
      </c>
      <c r="B65" s="556"/>
      <c r="C65" s="564">
        <v>7670</v>
      </c>
      <c r="D65" s="564">
        <v>7670</v>
      </c>
      <c r="E65" s="564">
        <v>7670</v>
      </c>
      <c r="F65" s="407" t="str">
        <f>IF(C65&lt;0,"STOPP!","OK!")</f>
        <v>OK!</v>
      </c>
      <c r="G65" s="407" t="str">
        <f t="shared" si="215"/>
        <v>OK!</v>
      </c>
      <c r="H65" s="407" t="str">
        <f t="shared" si="216"/>
        <v>OK!</v>
      </c>
      <c r="I65" s="407" t="str">
        <f t="shared" si="217"/>
        <v>OK!</v>
      </c>
      <c r="J65" s="407" t="str">
        <f t="shared" si="218"/>
        <v>OK!</v>
      </c>
      <c r="K65" s="407" t="str">
        <f t="shared" si="219"/>
        <v>OK!</v>
      </c>
      <c r="L65" s="407" t="str">
        <f t="shared" si="220"/>
        <v>OK!</v>
      </c>
      <c r="M65" s="407" t="str">
        <f t="shared" si="221"/>
        <v>OK!</v>
      </c>
      <c r="N65" s="407" t="str">
        <f t="shared" si="222"/>
        <v>OK!</v>
      </c>
      <c r="O65" s="407" t="str">
        <f t="shared" si="223"/>
        <v>OK!</v>
      </c>
      <c r="P65" s="407" t="str">
        <f t="shared" si="224"/>
        <v>OK!</v>
      </c>
      <c r="Q65" s="407" t="str">
        <f t="shared" si="225"/>
        <v>OK!</v>
      </c>
      <c r="R65" s="407" t="str">
        <f t="shared" si="226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7" t="str">
        <f>A$12</f>
        <v>Angazhimet kujtesë</v>
      </c>
      <c r="B66" s="563"/>
      <c r="C66" s="563">
        <f>'(C5) Angazhimet'!D24</f>
        <v>0</v>
      </c>
      <c r="D66" s="563">
        <f>'(C5) Angazhimet'!E24</f>
        <v>0</v>
      </c>
      <c r="E66" s="563">
        <f>'(C5) Angazhimet'!F24</f>
        <v>0</v>
      </c>
      <c r="F66" s="407" t="str">
        <f>IF(C66&gt;C65,"STOPP!","OK!")</f>
        <v>OK!</v>
      </c>
      <c r="G66" s="407" t="str">
        <f t="shared" si="215"/>
        <v>OK!</v>
      </c>
      <c r="H66" s="407" t="str">
        <f t="shared" si="216"/>
        <v>OK!</v>
      </c>
      <c r="I66" s="407" t="str">
        <f t="shared" si="217"/>
        <v>OK!</v>
      </c>
      <c r="J66" s="407" t="str">
        <f t="shared" si="218"/>
        <v>OK!</v>
      </c>
      <c r="K66" s="407" t="str">
        <f t="shared" si="219"/>
        <v>OK!</v>
      </c>
      <c r="L66" s="407" t="str">
        <f t="shared" si="220"/>
        <v>OK!</v>
      </c>
      <c r="M66" s="407" t="str">
        <f t="shared" si="221"/>
        <v>OK!</v>
      </c>
      <c r="N66" s="407" t="str">
        <f t="shared" si="222"/>
        <v>OK!</v>
      </c>
      <c r="O66" s="407" t="str">
        <f t="shared" si="223"/>
        <v>OK!</v>
      </c>
      <c r="P66" s="407" t="str">
        <f t="shared" si="224"/>
        <v>OK!</v>
      </c>
      <c r="Q66" s="407" t="str">
        <f t="shared" si="225"/>
        <v>OK!</v>
      </c>
      <c r="R66" s="407" t="str">
        <f t="shared" si="226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6" t="str">
        <f>'(B2) Struktura Organizative'!A15</f>
        <v>Nënfunksioni 4</v>
      </c>
      <c r="B67" s="894" t="str">
        <f>'(B2) Struktura Organizative'!B15</f>
        <v>032 Shërbimet e mbrojtjes ndaj zjarrit</v>
      </c>
      <c r="C67" s="895"/>
      <c r="D67" s="895"/>
      <c r="E67" s="896"/>
      <c r="G67" s="312">
        <f>C71</f>
        <v>31430</v>
      </c>
      <c r="H67" s="312">
        <f t="shared" ref="H67" si="229">D71</f>
        <v>31430</v>
      </c>
      <c r="I67" s="312">
        <f t="shared" ref="I67" si="230">E71</f>
        <v>31430</v>
      </c>
      <c r="J67" s="312">
        <f>C68</f>
        <v>20834</v>
      </c>
      <c r="K67" s="312">
        <f t="shared" ref="K67" si="231">D68</f>
        <v>20834</v>
      </c>
      <c r="L67" s="312">
        <f t="shared" ref="L67" si="232">E68</f>
        <v>20834</v>
      </c>
      <c r="M67" s="312">
        <f>C69</f>
        <v>10596</v>
      </c>
      <c r="N67" s="312">
        <f t="shared" ref="N67" si="233">D69</f>
        <v>10596</v>
      </c>
      <c r="O67" s="312">
        <f t="shared" ref="O67" si="234">E69</f>
        <v>10596</v>
      </c>
      <c r="P67" s="312">
        <f>C70</f>
        <v>0</v>
      </c>
      <c r="Q67" s="312">
        <f t="shared" ref="Q67" si="235">D70</f>
        <v>0</v>
      </c>
      <c r="R67" s="312">
        <f t="shared" ref="R67" si="236">E70</f>
        <v>0</v>
      </c>
    </row>
    <row r="68" spans="1:20" x14ac:dyDescent="0.15">
      <c r="A68" s="286" t="str">
        <f>A$8</f>
        <v>Pagat dhe sigurimet shoqërore</v>
      </c>
      <c r="B68" s="286"/>
      <c r="C68" s="563">
        <f>C74</f>
        <v>20834</v>
      </c>
      <c r="D68" s="563">
        <f t="shared" ref="D68:E68" si="237">D74</f>
        <v>20834</v>
      </c>
      <c r="E68" s="563">
        <f t="shared" si="237"/>
        <v>20834</v>
      </c>
      <c r="F68" s="407" t="str">
        <f t="shared" ref="F68:F70" si="238">IF(C68&lt;0,"STOPP!","OK!")</f>
        <v>OK!</v>
      </c>
      <c r="G68" s="407" t="str">
        <f t="shared" ref="G68:G70" si="239">IF(D68&lt;0,"STOPP!","OK!")</f>
        <v>OK!</v>
      </c>
      <c r="H68" s="407" t="str">
        <f t="shared" ref="H68:H70" si="240">IF(E68&lt;0,"STOPP!","OK!")</f>
        <v>OK!</v>
      </c>
      <c r="I68" s="407" t="str">
        <f t="shared" ref="I68:I70" si="241">IF(F68&lt;0,"STOPP!","OK!")</f>
        <v>OK!</v>
      </c>
      <c r="J68" s="407" t="str">
        <f t="shared" ref="J68:J70" si="242">IF(G68&lt;0,"STOPP!","OK!")</f>
        <v>OK!</v>
      </c>
      <c r="K68" s="407" t="str">
        <f t="shared" ref="K68:K70" si="243">IF(H68&lt;0,"STOPP!","OK!")</f>
        <v>OK!</v>
      </c>
      <c r="L68" s="407" t="str">
        <f t="shared" ref="L68:L70" si="244">IF(I68&lt;0,"STOPP!","OK!")</f>
        <v>OK!</v>
      </c>
      <c r="M68" s="407" t="str">
        <f t="shared" ref="M68:M70" si="245">IF(J68&lt;0,"STOPP!","OK!")</f>
        <v>OK!</v>
      </c>
      <c r="N68" s="407" t="str">
        <f t="shared" ref="N68:N70" si="246">IF(K68&lt;0,"STOPP!","OK!")</f>
        <v>OK!</v>
      </c>
      <c r="O68" s="407" t="str">
        <f t="shared" ref="O68:O70" si="247">IF(L68&lt;0,"STOPP!","OK!")</f>
        <v>OK!</v>
      </c>
      <c r="P68" s="407" t="str">
        <f t="shared" ref="P68:P70" si="248">IF(M68&lt;0,"STOPP!","OK!")</f>
        <v>OK!</v>
      </c>
      <c r="Q68" s="407" t="str">
        <f t="shared" ref="Q68:Q70" si="249">IF(N68&lt;0,"STOPP!","OK!")</f>
        <v>OK!</v>
      </c>
      <c r="R68" s="407" t="str">
        <f t="shared" ref="R68:R70" si="250">IF(O68&lt;0,"STOPP!","OK!")</f>
        <v>OK!</v>
      </c>
      <c r="S68" s="407" t="str">
        <f t="shared" ref="S68:S70" si="251">IF(D68&lt;0,"STOPP!","OK!")</f>
        <v>OK!</v>
      </c>
      <c r="T68" s="407" t="str">
        <f t="shared" ref="T68:T70" si="252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3">
        <f>C75</f>
        <v>10596</v>
      </c>
      <c r="D69" s="563">
        <f t="shared" ref="D69:E69" si="253">D75</f>
        <v>10596</v>
      </c>
      <c r="E69" s="563">
        <f t="shared" si="253"/>
        <v>10596</v>
      </c>
      <c r="F69" s="407" t="str">
        <f t="shared" si="238"/>
        <v>OK!</v>
      </c>
      <c r="G69" s="407" t="str">
        <f t="shared" si="239"/>
        <v>OK!</v>
      </c>
      <c r="H69" s="407" t="str">
        <f t="shared" si="240"/>
        <v>OK!</v>
      </c>
      <c r="I69" s="407" t="str">
        <f t="shared" si="241"/>
        <v>OK!</v>
      </c>
      <c r="J69" s="407" t="str">
        <f t="shared" si="242"/>
        <v>OK!</v>
      </c>
      <c r="K69" s="407" t="str">
        <f t="shared" si="243"/>
        <v>OK!</v>
      </c>
      <c r="L69" s="407" t="str">
        <f t="shared" si="244"/>
        <v>OK!</v>
      </c>
      <c r="M69" s="407" t="str">
        <f t="shared" si="245"/>
        <v>OK!</v>
      </c>
      <c r="N69" s="407" t="str">
        <f t="shared" si="246"/>
        <v>OK!</v>
      </c>
      <c r="O69" s="407" t="str">
        <f t="shared" si="247"/>
        <v>OK!</v>
      </c>
      <c r="P69" s="407" t="str">
        <f t="shared" si="248"/>
        <v>OK!</v>
      </c>
      <c r="Q69" s="407" t="str">
        <f t="shared" si="249"/>
        <v>OK!</v>
      </c>
      <c r="R69" s="407" t="str">
        <f t="shared" si="250"/>
        <v>OK!</v>
      </c>
      <c r="S69" s="407" t="str">
        <f t="shared" si="251"/>
        <v>OK!</v>
      </c>
      <c r="T69" s="407" t="str">
        <f t="shared" si="252"/>
        <v>OK!</v>
      </c>
    </row>
    <row r="70" spans="1:20" x14ac:dyDescent="0.15">
      <c r="A70" s="565" t="str">
        <f>A$10</f>
        <v>Shpenzimet kapitale</v>
      </c>
      <c r="B70" s="566"/>
      <c r="C70" s="563">
        <f>C71-C68-C69</f>
        <v>0</v>
      </c>
      <c r="D70" s="561">
        <f>D71-D68-D69</f>
        <v>0</v>
      </c>
      <c r="E70" s="561">
        <f>E71-E68-E69</f>
        <v>0</v>
      </c>
      <c r="F70" s="407" t="str">
        <f t="shared" si="238"/>
        <v>OK!</v>
      </c>
      <c r="G70" s="407" t="str">
        <f t="shared" si="239"/>
        <v>OK!</v>
      </c>
      <c r="H70" s="407" t="str">
        <f t="shared" si="240"/>
        <v>OK!</v>
      </c>
      <c r="I70" s="407" t="str">
        <f t="shared" si="241"/>
        <v>OK!</v>
      </c>
      <c r="J70" s="407" t="str">
        <f t="shared" si="242"/>
        <v>OK!</v>
      </c>
      <c r="K70" s="407" t="str">
        <f t="shared" si="243"/>
        <v>OK!</v>
      </c>
      <c r="L70" s="407" t="str">
        <f t="shared" si="244"/>
        <v>OK!</v>
      </c>
      <c r="M70" s="407" t="str">
        <f t="shared" si="245"/>
        <v>OK!</v>
      </c>
      <c r="N70" s="407" t="str">
        <f t="shared" si="246"/>
        <v>OK!</v>
      </c>
      <c r="O70" s="407" t="str">
        <f t="shared" si="247"/>
        <v>OK!</v>
      </c>
      <c r="P70" s="407" t="str">
        <f t="shared" si="248"/>
        <v>OK!</v>
      </c>
      <c r="Q70" s="407" t="str">
        <f t="shared" si="249"/>
        <v>OK!</v>
      </c>
      <c r="R70" s="407" t="str">
        <f t="shared" si="250"/>
        <v>OK!</v>
      </c>
      <c r="S70" s="407" t="str">
        <f t="shared" si="251"/>
        <v>OK!</v>
      </c>
      <c r="T70" s="407" t="str">
        <f t="shared" si="252"/>
        <v>OK!</v>
      </c>
    </row>
    <row r="71" spans="1:20" x14ac:dyDescent="0.15">
      <c r="A71" s="555" t="str">
        <f>A$11</f>
        <v>Tavanet e përgjithshme</v>
      </c>
      <c r="B71" s="556"/>
      <c r="C71" s="563">
        <f>C77</f>
        <v>31430</v>
      </c>
      <c r="D71" s="563">
        <f t="shared" ref="D71:E71" si="254">D77</f>
        <v>31430</v>
      </c>
      <c r="E71" s="563">
        <f t="shared" si="254"/>
        <v>31430</v>
      </c>
      <c r="F71" s="407" t="str">
        <f>IF(C71&lt;0,"STOPP!","OK!")</f>
        <v>OK!</v>
      </c>
      <c r="G71" s="407" t="str">
        <f t="shared" ref="G71:G72" si="255">IF(D71&lt;0,"STOPP!","OK!")</f>
        <v>OK!</v>
      </c>
      <c r="H71" s="407" t="str">
        <f t="shared" ref="H71:H72" si="256">IF(E71&lt;0,"STOPP!","OK!")</f>
        <v>OK!</v>
      </c>
      <c r="I71" s="407" t="str">
        <f t="shared" ref="I71:I72" si="257">IF(F71&lt;0,"STOPP!","OK!")</f>
        <v>OK!</v>
      </c>
      <c r="J71" s="407" t="str">
        <f t="shared" ref="J71:J72" si="258">IF(G71&lt;0,"STOPP!","OK!")</f>
        <v>OK!</v>
      </c>
      <c r="K71" s="407" t="str">
        <f t="shared" ref="K71:K72" si="259">IF(H71&lt;0,"STOPP!","OK!")</f>
        <v>OK!</v>
      </c>
      <c r="L71" s="407" t="str">
        <f t="shared" ref="L71:L72" si="260">IF(I71&lt;0,"STOPP!","OK!")</f>
        <v>OK!</v>
      </c>
      <c r="M71" s="407" t="str">
        <f t="shared" ref="M71:M72" si="261">IF(J71&lt;0,"STOPP!","OK!")</f>
        <v>OK!</v>
      </c>
      <c r="N71" s="407" t="str">
        <f t="shared" ref="N71:N72" si="262">IF(K71&lt;0,"STOPP!","OK!")</f>
        <v>OK!</v>
      </c>
      <c r="O71" s="407" t="str">
        <f t="shared" ref="O71:O72" si="263">IF(L71&lt;0,"STOPP!","OK!")</f>
        <v>OK!</v>
      </c>
      <c r="P71" s="407" t="str">
        <f t="shared" ref="P71:P72" si="264">IF(M71&lt;0,"STOPP!","OK!")</f>
        <v>OK!</v>
      </c>
      <c r="Q71" s="407" t="str">
        <f t="shared" ref="Q71:Q72" si="265">IF(N71&lt;0,"STOPP!","OK!")</f>
        <v>OK!</v>
      </c>
      <c r="R71" s="407" t="str">
        <f t="shared" ref="R71:R72" si="266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7" t="str">
        <f>A$12</f>
        <v>Angazhimet kujtesë</v>
      </c>
      <c r="B72" s="563"/>
      <c r="C72" s="563">
        <f>'(C5) Angazhimet'!D32</f>
        <v>0</v>
      </c>
      <c r="D72" s="561">
        <f>'(C5) Angazhimet'!E32</f>
        <v>0</v>
      </c>
      <c r="E72" s="561">
        <f>'(C5) Angazhimet'!F32</f>
        <v>0</v>
      </c>
      <c r="F72" s="407" t="str">
        <f>IF(C72&gt;C71,"STOPP!","OK!")</f>
        <v>OK!</v>
      </c>
      <c r="G72" s="407" t="str">
        <f t="shared" si="255"/>
        <v>OK!</v>
      </c>
      <c r="H72" s="407" t="str">
        <f t="shared" si="256"/>
        <v>OK!</v>
      </c>
      <c r="I72" s="407" t="str">
        <f t="shared" si="257"/>
        <v>OK!</v>
      </c>
      <c r="J72" s="407" t="str">
        <f t="shared" si="258"/>
        <v>OK!</v>
      </c>
      <c r="K72" s="407" t="str">
        <f t="shared" si="259"/>
        <v>OK!</v>
      </c>
      <c r="L72" s="407" t="str">
        <f t="shared" si="260"/>
        <v>OK!</v>
      </c>
      <c r="M72" s="407" t="str">
        <f t="shared" si="261"/>
        <v>OK!</v>
      </c>
      <c r="N72" s="407" t="str">
        <f t="shared" si="262"/>
        <v>OK!</v>
      </c>
      <c r="O72" s="407" t="str">
        <f t="shared" si="263"/>
        <v>OK!</v>
      </c>
      <c r="P72" s="407" t="str">
        <f t="shared" si="264"/>
        <v>OK!</v>
      </c>
      <c r="Q72" s="407" t="str">
        <f t="shared" si="265"/>
        <v>OK!</v>
      </c>
      <c r="R72" s="407" t="str">
        <f t="shared" si="266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7" t="str">
        <f>'(B3) Struktura Funksionale'!B26</f>
        <v>03280</v>
      </c>
      <c r="B73" s="891" t="str">
        <f>'(B3) Struktura Funksionale'!C26</f>
        <v>Mbrotja nga zjarri dhe mbrojtja civile</v>
      </c>
      <c r="C73" s="892"/>
      <c r="D73" s="892"/>
      <c r="E73" s="893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>
        <f>17776+3058</f>
        <v>20834</v>
      </c>
      <c r="D74" s="287">
        <f t="shared" ref="D74:E74" si="267">17776+3058</f>
        <v>20834</v>
      </c>
      <c r="E74" s="287">
        <f t="shared" si="267"/>
        <v>20834</v>
      </c>
      <c r="F74" s="407" t="str">
        <f t="shared" ref="F74:F76" si="268">IF(C74&lt;0,"STOPP!","OK!")</f>
        <v>OK!</v>
      </c>
      <c r="G74" s="407" t="str">
        <f t="shared" ref="G74:G78" si="269">IF(D74&lt;0,"STOPP!","OK!")</f>
        <v>OK!</v>
      </c>
      <c r="H74" s="407" t="str">
        <f t="shared" ref="H74:H78" si="270">IF(E74&lt;0,"STOPP!","OK!")</f>
        <v>OK!</v>
      </c>
      <c r="I74" s="407" t="str">
        <f t="shared" ref="I74:I78" si="271">IF(F74&lt;0,"STOPP!","OK!")</f>
        <v>OK!</v>
      </c>
      <c r="J74" s="407" t="str">
        <f t="shared" ref="J74:J78" si="272">IF(G74&lt;0,"STOPP!","OK!")</f>
        <v>OK!</v>
      </c>
      <c r="K74" s="407" t="str">
        <f t="shared" ref="K74:K78" si="273">IF(H74&lt;0,"STOPP!","OK!")</f>
        <v>OK!</v>
      </c>
      <c r="L74" s="407" t="str">
        <f t="shared" ref="L74:L78" si="274">IF(I74&lt;0,"STOPP!","OK!")</f>
        <v>OK!</v>
      </c>
      <c r="M74" s="407" t="str">
        <f t="shared" ref="M74:M78" si="275">IF(J74&lt;0,"STOPP!","OK!")</f>
        <v>OK!</v>
      </c>
      <c r="N74" s="407" t="str">
        <f t="shared" ref="N74:N78" si="276">IF(K74&lt;0,"STOPP!","OK!")</f>
        <v>OK!</v>
      </c>
      <c r="O74" s="407" t="str">
        <f t="shared" ref="O74:O78" si="277">IF(L74&lt;0,"STOPP!","OK!")</f>
        <v>OK!</v>
      </c>
      <c r="P74" s="407" t="str">
        <f t="shared" ref="P74:P78" si="278">IF(M74&lt;0,"STOPP!","OK!")</f>
        <v>OK!</v>
      </c>
      <c r="Q74" s="407" t="str">
        <f t="shared" ref="Q74:Q78" si="279">IF(N74&lt;0,"STOPP!","OK!")</f>
        <v>OK!</v>
      </c>
      <c r="R74" s="407" t="str">
        <f t="shared" ref="R74:R78" si="280">IF(O74&lt;0,"STOPP!","OK!")</f>
        <v>OK!</v>
      </c>
      <c r="S74" s="407" t="str">
        <f t="shared" ref="S74:S76" si="281">IF(D74&lt;0,"STOPP!","OK!")</f>
        <v>OK!</v>
      </c>
      <c r="T74" s="407" t="str">
        <f t="shared" ref="T74:T76" si="282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f>4026+100+6470</f>
        <v>10596</v>
      </c>
      <c r="D75" s="288">
        <f t="shared" ref="D75:E75" si="283">4026+100+6470</f>
        <v>10596</v>
      </c>
      <c r="E75" s="288">
        <f t="shared" si="283"/>
        <v>10596</v>
      </c>
      <c r="F75" s="407" t="str">
        <f t="shared" si="268"/>
        <v>OK!</v>
      </c>
      <c r="G75" s="407" t="str">
        <f t="shared" si="269"/>
        <v>OK!</v>
      </c>
      <c r="H75" s="407" t="str">
        <f t="shared" si="270"/>
        <v>OK!</v>
      </c>
      <c r="I75" s="407" t="str">
        <f t="shared" si="271"/>
        <v>OK!</v>
      </c>
      <c r="J75" s="407" t="str">
        <f t="shared" si="272"/>
        <v>OK!</v>
      </c>
      <c r="K75" s="407" t="str">
        <f t="shared" si="273"/>
        <v>OK!</v>
      </c>
      <c r="L75" s="407" t="str">
        <f t="shared" si="274"/>
        <v>OK!</v>
      </c>
      <c r="M75" s="407" t="str">
        <f t="shared" si="275"/>
        <v>OK!</v>
      </c>
      <c r="N75" s="407" t="str">
        <f t="shared" si="276"/>
        <v>OK!</v>
      </c>
      <c r="O75" s="407" t="str">
        <f t="shared" si="277"/>
        <v>OK!</v>
      </c>
      <c r="P75" s="407" t="str">
        <f t="shared" si="278"/>
        <v>OK!</v>
      </c>
      <c r="Q75" s="407" t="str">
        <f t="shared" si="279"/>
        <v>OK!</v>
      </c>
      <c r="R75" s="407" t="str">
        <f t="shared" si="280"/>
        <v>OK!</v>
      </c>
      <c r="S75" s="407" t="str">
        <f t="shared" si="281"/>
        <v>OK!</v>
      </c>
      <c r="T75" s="407" t="str">
        <f t="shared" si="282"/>
        <v>OK!</v>
      </c>
    </row>
    <row r="76" spans="1:20" x14ac:dyDescent="0.15">
      <c r="A76" s="565" t="str">
        <f>A$10</f>
        <v>Shpenzimet kapitale</v>
      </c>
      <c r="B76" s="566"/>
      <c r="C76" s="563">
        <f>C77-C74-C75</f>
        <v>0</v>
      </c>
      <c r="D76" s="561">
        <f>D77-D74-D75</f>
        <v>0</v>
      </c>
      <c r="E76" s="561">
        <f>E77-E74-E75</f>
        <v>0</v>
      </c>
      <c r="F76" s="407" t="str">
        <f t="shared" si="268"/>
        <v>OK!</v>
      </c>
      <c r="G76" s="407" t="str">
        <f t="shared" si="269"/>
        <v>OK!</v>
      </c>
      <c r="H76" s="407" t="str">
        <f t="shared" si="270"/>
        <v>OK!</v>
      </c>
      <c r="I76" s="407" t="str">
        <f t="shared" si="271"/>
        <v>OK!</v>
      </c>
      <c r="J76" s="407" t="str">
        <f t="shared" si="272"/>
        <v>OK!</v>
      </c>
      <c r="K76" s="407" t="str">
        <f t="shared" si="273"/>
        <v>OK!</v>
      </c>
      <c r="L76" s="407" t="str">
        <f t="shared" si="274"/>
        <v>OK!</v>
      </c>
      <c r="M76" s="407" t="str">
        <f t="shared" si="275"/>
        <v>OK!</v>
      </c>
      <c r="N76" s="407" t="str">
        <f t="shared" si="276"/>
        <v>OK!</v>
      </c>
      <c r="O76" s="407" t="str">
        <f t="shared" si="277"/>
        <v>OK!</v>
      </c>
      <c r="P76" s="407" t="str">
        <f t="shared" si="278"/>
        <v>OK!</v>
      </c>
      <c r="Q76" s="407" t="str">
        <f t="shared" si="279"/>
        <v>OK!</v>
      </c>
      <c r="R76" s="407" t="str">
        <f t="shared" si="280"/>
        <v>OK!</v>
      </c>
      <c r="S76" s="407" t="str">
        <f t="shared" si="281"/>
        <v>OK!</v>
      </c>
      <c r="T76" s="407" t="str">
        <f t="shared" si="282"/>
        <v>OK!</v>
      </c>
    </row>
    <row r="77" spans="1:20" x14ac:dyDescent="0.15">
      <c r="A77" s="555" t="str">
        <f>A$11</f>
        <v>Tavanet e përgjithshme</v>
      </c>
      <c r="B77" s="556"/>
      <c r="C77" s="564">
        <f>24960+6470</f>
        <v>31430</v>
      </c>
      <c r="D77" s="564">
        <f t="shared" ref="D77:E77" si="284">24960+6470</f>
        <v>31430</v>
      </c>
      <c r="E77" s="564">
        <f t="shared" si="284"/>
        <v>31430</v>
      </c>
      <c r="F77" s="407" t="str">
        <f>IF(C77&lt;0,"STOPP!","OK!")</f>
        <v>OK!</v>
      </c>
      <c r="G77" s="407" t="str">
        <f t="shared" si="269"/>
        <v>OK!</v>
      </c>
      <c r="H77" s="407" t="str">
        <f t="shared" si="270"/>
        <v>OK!</v>
      </c>
      <c r="I77" s="407" t="str">
        <f t="shared" si="271"/>
        <v>OK!</v>
      </c>
      <c r="J77" s="407" t="str">
        <f t="shared" si="272"/>
        <v>OK!</v>
      </c>
      <c r="K77" s="407" t="str">
        <f t="shared" si="273"/>
        <v>OK!</v>
      </c>
      <c r="L77" s="407" t="str">
        <f t="shared" si="274"/>
        <v>OK!</v>
      </c>
      <c r="M77" s="407" t="str">
        <f t="shared" si="275"/>
        <v>OK!</v>
      </c>
      <c r="N77" s="407" t="str">
        <f t="shared" si="276"/>
        <v>OK!</v>
      </c>
      <c r="O77" s="407" t="str">
        <f t="shared" si="277"/>
        <v>OK!</v>
      </c>
      <c r="P77" s="407" t="str">
        <f t="shared" si="278"/>
        <v>OK!</v>
      </c>
      <c r="Q77" s="407" t="str">
        <f t="shared" si="279"/>
        <v>OK!</v>
      </c>
      <c r="R77" s="407" t="str">
        <f t="shared" si="280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7" t="str">
        <f>A$12</f>
        <v>Angazhimet kujtesë</v>
      </c>
      <c r="B78" s="563"/>
      <c r="C78" s="563">
        <f>'(C5) Angazhimet'!D29</f>
        <v>0</v>
      </c>
      <c r="D78" s="563">
        <f>'(C5) Angazhimet'!E29</f>
        <v>0</v>
      </c>
      <c r="E78" s="563">
        <f>'(C5) Angazhimet'!F29</f>
        <v>0</v>
      </c>
      <c r="F78" s="407" t="str">
        <f>IF(C78&gt;C77,"STOPP!","OK!")</f>
        <v>OK!</v>
      </c>
      <c r="G78" s="407" t="str">
        <f t="shared" si="269"/>
        <v>OK!</v>
      </c>
      <c r="H78" s="407" t="str">
        <f t="shared" si="270"/>
        <v>OK!</v>
      </c>
      <c r="I78" s="407" t="str">
        <f t="shared" si="271"/>
        <v>OK!</v>
      </c>
      <c r="J78" s="407" t="str">
        <f t="shared" si="272"/>
        <v>OK!</v>
      </c>
      <c r="K78" s="407" t="str">
        <f t="shared" si="273"/>
        <v>OK!</v>
      </c>
      <c r="L78" s="407" t="str">
        <f t="shared" si="274"/>
        <v>OK!</v>
      </c>
      <c r="M78" s="407" t="str">
        <f t="shared" si="275"/>
        <v>OK!</v>
      </c>
      <c r="N78" s="407" t="str">
        <f t="shared" si="276"/>
        <v>OK!</v>
      </c>
      <c r="O78" s="407" t="str">
        <f t="shared" si="277"/>
        <v>OK!</v>
      </c>
      <c r="P78" s="407" t="str">
        <f t="shared" si="278"/>
        <v>OK!</v>
      </c>
      <c r="Q78" s="407" t="str">
        <f t="shared" si="279"/>
        <v>OK!</v>
      </c>
      <c r="R78" s="407" t="str">
        <f t="shared" si="280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6" t="str">
        <f>'(B2) Struktura Organizative'!A17</f>
        <v>Nënfunksioni 5</v>
      </c>
      <c r="B79" s="894" t="str">
        <f>'(B2) Struktura Organizative'!B17</f>
        <v>036 Marrdheniet me komunitetin</v>
      </c>
      <c r="C79" s="895"/>
      <c r="D79" s="895"/>
      <c r="E79" s="896"/>
      <c r="G79" s="312">
        <f>C83</f>
        <v>0</v>
      </c>
      <c r="H79" s="312">
        <f t="shared" ref="H79" si="285">D83</f>
        <v>0</v>
      </c>
      <c r="I79" s="312">
        <f t="shared" ref="I79" si="286">E83</f>
        <v>0</v>
      </c>
      <c r="J79" s="312">
        <f>C80</f>
        <v>0</v>
      </c>
      <c r="K79" s="312">
        <f t="shared" ref="K79" si="287">D80</f>
        <v>0</v>
      </c>
      <c r="L79" s="312">
        <f t="shared" ref="L79" si="288">E80</f>
        <v>0</v>
      </c>
      <c r="M79" s="312">
        <f>C81</f>
        <v>0</v>
      </c>
      <c r="N79" s="312">
        <f t="shared" ref="N79" si="289">D81</f>
        <v>0</v>
      </c>
      <c r="O79" s="312">
        <f t="shared" ref="O79" si="290">E81</f>
        <v>0</v>
      </c>
      <c r="P79" s="312">
        <f>C82</f>
        <v>0</v>
      </c>
      <c r="Q79" s="312">
        <f t="shared" ref="Q79" si="291">D82</f>
        <v>0</v>
      </c>
      <c r="R79" s="312">
        <f t="shared" ref="R79" si="292">E82</f>
        <v>0</v>
      </c>
    </row>
    <row r="80" spans="1:20" x14ac:dyDescent="0.15">
      <c r="A80" s="286" t="str">
        <f>A$8</f>
        <v>Pagat dhe sigurimet shoqërore</v>
      </c>
      <c r="B80" s="286"/>
      <c r="C80" s="563">
        <f>C86</f>
        <v>0</v>
      </c>
      <c r="D80" s="563">
        <f t="shared" ref="D80:E80" si="293">D86</f>
        <v>0</v>
      </c>
      <c r="E80" s="563">
        <f t="shared" si="293"/>
        <v>0</v>
      </c>
      <c r="F80" s="407" t="str">
        <f t="shared" ref="F80:F82" si="294">IF(C80&lt;0,"STOPP!","OK!")</f>
        <v>OK!</v>
      </c>
      <c r="G80" s="407" t="str">
        <f t="shared" ref="G80:G82" si="295">IF(D80&lt;0,"STOPP!","OK!")</f>
        <v>OK!</v>
      </c>
      <c r="H80" s="407" t="str">
        <f t="shared" ref="H80:H82" si="296">IF(E80&lt;0,"STOPP!","OK!")</f>
        <v>OK!</v>
      </c>
      <c r="I80" s="407" t="str">
        <f t="shared" ref="I80:I82" si="297">IF(F80&lt;0,"STOPP!","OK!")</f>
        <v>OK!</v>
      </c>
      <c r="J80" s="407" t="str">
        <f t="shared" ref="J80:J82" si="298">IF(G80&lt;0,"STOPP!","OK!")</f>
        <v>OK!</v>
      </c>
      <c r="K80" s="407" t="str">
        <f t="shared" ref="K80:K82" si="299">IF(H80&lt;0,"STOPP!","OK!")</f>
        <v>OK!</v>
      </c>
      <c r="L80" s="407" t="str">
        <f t="shared" ref="L80:L82" si="300">IF(I80&lt;0,"STOPP!","OK!")</f>
        <v>OK!</v>
      </c>
      <c r="M80" s="407" t="str">
        <f t="shared" ref="M80:M82" si="301">IF(J80&lt;0,"STOPP!","OK!")</f>
        <v>OK!</v>
      </c>
      <c r="N80" s="407" t="str">
        <f t="shared" ref="N80:N82" si="302">IF(K80&lt;0,"STOPP!","OK!")</f>
        <v>OK!</v>
      </c>
      <c r="O80" s="407" t="str">
        <f t="shared" ref="O80:O82" si="303">IF(L80&lt;0,"STOPP!","OK!")</f>
        <v>OK!</v>
      </c>
      <c r="P80" s="407" t="str">
        <f t="shared" ref="P80:P82" si="304">IF(M80&lt;0,"STOPP!","OK!")</f>
        <v>OK!</v>
      </c>
      <c r="Q80" s="407" t="str">
        <f t="shared" ref="Q80:Q82" si="305">IF(N80&lt;0,"STOPP!","OK!")</f>
        <v>OK!</v>
      </c>
      <c r="R80" s="407" t="str">
        <f t="shared" ref="R80:R82" si="306">IF(O80&lt;0,"STOPP!","OK!")</f>
        <v>OK!</v>
      </c>
      <c r="S80" s="407" t="str">
        <f t="shared" ref="S80:S82" si="307">IF(D80&lt;0,"STOPP!","OK!")</f>
        <v>OK!</v>
      </c>
      <c r="T80" s="407" t="str">
        <f t="shared" ref="T80:T82" si="308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3">
        <f>C87</f>
        <v>0</v>
      </c>
      <c r="D81" s="563">
        <f t="shared" ref="D81:E81" si="309">D87</f>
        <v>0</v>
      </c>
      <c r="E81" s="563">
        <f t="shared" si="309"/>
        <v>0</v>
      </c>
      <c r="F81" s="407" t="str">
        <f t="shared" si="294"/>
        <v>OK!</v>
      </c>
      <c r="G81" s="407" t="str">
        <f t="shared" si="295"/>
        <v>OK!</v>
      </c>
      <c r="H81" s="407" t="str">
        <f t="shared" si="296"/>
        <v>OK!</v>
      </c>
      <c r="I81" s="407" t="str">
        <f t="shared" si="297"/>
        <v>OK!</v>
      </c>
      <c r="J81" s="407" t="str">
        <f t="shared" si="298"/>
        <v>OK!</v>
      </c>
      <c r="K81" s="407" t="str">
        <f t="shared" si="299"/>
        <v>OK!</v>
      </c>
      <c r="L81" s="407" t="str">
        <f t="shared" si="300"/>
        <v>OK!</v>
      </c>
      <c r="M81" s="407" t="str">
        <f t="shared" si="301"/>
        <v>OK!</v>
      </c>
      <c r="N81" s="407" t="str">
        <f t="shared" si="302"/>
        <v>OK!</v>
      </c>
      <c r="O81" s="407" t="str">
        <f t="shared" si="303"/>
        <v>OK!</v>
      </c>
      <c r="P81" s="407" t="str">
        <f t="shared" si="304"/>
        <v>OK!</v>
      </c>
      <c r="Q81" s="407" t="str">
        <f t="shared" si="305"/>
        <v>OK!</v>
      </c>
      <c r="R81" s="407" t="str">
        <f t="shared" si="306"/>
        <v>OK!</v>
      </c>
      <c r="S81" s="407" t="str">
        <f t="shared" si="307"/>
        <v>OK!</v>
      </c>
      <c r="T81" s="407" t="str">
        <f t="shared" si="308"/>
        <v>OK!</v>
      </c>
    </row>
    <row r="82" spans="1:20" x14ac:dyDescent="0.15">
      <c r="A82" s="565" t="str">
        <f>A$10</f>
        <v>Shpenzimet kapitale</v>
      </c>
      <c r="B82" s="566"/>
      <c r="C82" s="563">
        <f>C83-C80-C81</f>
        <v>0</v>
      </c>
      <c r="D82" s="561">
        <f>D83-D80-D81</f>
        <v>0</v>
      </c>
      <c r="E82" s="561">
        <f>E83-E80-E81</f>
        <v>0</v>
      </c>
      <c r="F82" s="407" t="str">
        <f t="shared" si="294"/>
        <v>OK!</v>
      </c>
      <c r="G82" s="407" t="str">
        <f t="shared" si="295"/>
        <v>OK!</v>
      </c>
      <c r="H82" s="407" t="str">
        <f t="shared" si="296"/>
        <v>OK!</v>
      </c>
      <c r="I82" s="407" t="str">
        <f t="shared" si="297"/>
        <v>OK!</v>
      </c>
      <c r="J82" s="407" t="str">
        <f t="shared" si="298"/>
        <v>OK!</v>
      </c>
      <c r="K82" s="407" t="str">
        <f t="shared" si="299"/>
        <v>OK!</v>
      </c>
      <c r="L82" s="407" t="str">
        <f t="shared" si="300"/>
        <v>OK!</v>
      </c>
      <c r="M82" s="407" t="str">
        <f t="shared" si="301"/>
        <v>OK!</v>
      </c>
      <c r="N82" s="407" t="str">
        <f t="shared" si="302"/>
        <v>OK!</v>
      </c>
      <c r="O82" s="407" t="str">
        <f t="shared" si="303"/>
        <v>OK!</v>
      </c>
      <c r="P82" s="407" t="str">
        <f t="shared" si="304"/>
        <v>OK!</v>
      </c>
      <c r="Q82" s="407" t="str">
        <f t="shared" si="305"/>
        <v>OK!</v>
      </c>
      <c r="R82" s="407" t="str">
        <f t="shared" si="306"/>
        <v>OK!</v>
      </c>
      <c r="S82" s="407" t="str">
        <f t="shared" si="307"/>
        <v>OK!</v>
      </c>
      <c r="T82" s="407" t="str">
        <f t="shared" si="308"/>
        <v>OK!</v>
      </c>
    </row>
    <row r="83" spans="1:20" x14ac:dyDescent="0.15">
      <c r="A83" s="555" t="str">
        <f>A$11</f>
        <v>Tavanet e përgjithshme</v>
      </c>
      <c r="B83" s="556"/>
      <c r="C83" s="563">
        <f>C89</f>
        <v>0</v>
      </c>
      <c r="D83" s="563">
        <f t="shared" ref="D83:E83" si="310">D89</f>
        <v>0</v>
      </c>
      <c r="E83" s="563">
        <f t="shared" si="310"/>
        <v>0</v>
      </c>
      <c r="F83" s="407" t="str">
        <f>IF(C83&lt;0,"STOPP!","OK!")</f>
        <v>OK!</v>
      </c>
      <c r="G83" s="407" t="str">
        <f t="shared" ref="G83:G84" si="311">IF(D83&lt;0,"STOPP!","OK!")</f>
        <v>OK!</v>
      </c>
      <c r="H83" s="407" t="str">
        <f t="shared" ref="H83:H84" si="312">IF(E83&lt;0,"STOPP!","OK!")</f>
        <v>OK!</v>
      </c>
      <c r="I83" s="407" t="str">
        <f t="shared" ref="I83:I84" si="313">IF(F83&lt;0,"STOPP!","OK!")</f>
        <v>OK!</v>
      </c>
      <c r="J83" s="407" t="str">
        <f t="shared" ref="J83:J84" si="314">IF(G83&lt;0,"STOPP!","OK!")</f>
        <v>OK!</v>
      </c>
      <c r="K83" s="407" t="str">
        <f t="shared" ref="K83:K84" si="315">IF(H83&lt;0,"STOPP!","OK!")</f>
        <v>OK!</v>
      </c>
      <c r="L83" s="407" t="str">
        <f t="shared" ref="L83:L84" si="316">IF(I83&lt;0,"STOPP!","OK!")</f>
        <v>OK!</v>
      </c>
      <c r="M83" s="407" t="str">
        <f t="shared" ref="M83:M84" si="317">IF(J83&lt;0,"STOPP!","OK!")</f>
        <v>OK!</v>
      </c>
      <c r="N83" s="407" t="str">
        <f t="shared" ref="N83:N84" si="318">IF(K83&lt;0,"STOPP!","OK!")</f>
        <v>OK!</v>
      </c>
      <c r="O83" s="407" t="str">
        <f t="shared" ref="O83:O84" si="319">IF(L83&lt;0,"STOPP!","OK!")</f>
        <v>OK!</v>
      </c>
      <c r="P83" s="407" t="str">
        <f t="shared" ref="P83:P84" si="320">IF(M83&lt;0,"STOPP!","OK!")</f>
        <v>OK!</v>
      </c>
      <c r="Q83" s="407" t="str">
        <f t="shared" ref="Q83:Q84" si="321">IF(N83&lt;0,"STOPP!","OK!")</f>
        <v>OK!</v>
      </c>
      <c r="R83" s="407" t="str">
        <f t="shared" ref="R83:R84" si="322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7" t="str">
        <f>A$12</f>
        <v>Angazhimet kujtesë</v>
      </c>
      <c r="B84" s="563"/>
      <c r="C84" s="563">
        <f>'(C5) Angazhimet'!D37</f>
        <v>0</v>
      </c>
      <c r="D84" s="561">
        <f>'(C5) Angazhimet'!E37</f>
        <v>0</v>
      </c>
      <c r="E84" s="561">
        <f>'(C5) Angazhimet'!F37</f>
        <v>0</v>
      </c>
      <c r="F84" s="407" t="str">
        <f>IF(C84&gt;C83,"STOPP!","OK!")</f>
        <v>OK!</v>
      </c>
      <c r="G84" s="407" t="str">
        <f t="shared" si="311"/>
        <v>OK!</v>
      </c>
      <c r="H84" s="407" t="str">
        <f t="shared" si="312"/>
        <v>OK!</v>
      </c>
      <c r="I84" s="407" t="str">
        <f t="shared" si="313"/>
        <v>OK!</v>
      </c>
      <c r="J84" s="407" t="str">
        <f t="shared" si="314"/>
        <v>OK!</v>
      </c>
      <c r="K84" s="407" t="str">
        <f t="shared" si="315"/>
        <v>OK!</v>
      </c>
      <c r="L84" s="407" t="str">
        <f t="shared" si="316"/>
        <v>OK!</v>
      </c>
      <c r="M84" s="407" t="str">
        <f t="shared" si="317"/>
        <v>OK!</v>
      </c>
      <c r="N84" s="407" t="str">
        <f t="shared" si="318"/>
        <v>OK!</v>
      </c>
      <c r="O84" s="407" t="str">
        <f t="shared" si="319"/>
        <v>OK!</v>
      </c>
      <c r="P84" s="407" t="str">
        <f t="shared" si="320"/>
        <v>OK!</v>
      </c>
      <c r="Q84" s="407" t="str">
        <f t="shared" si="321"/>
        <v>OK!</v>
      </c>
      <c r="R84" s="407" t="str">
        <f t="shared" si="322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7" t="str">
        <f>'(B3) Struktura Funksionale'!B30</f>
        <v>03600</v>
      </c>
      <c r="B85" s="898" t="str">
        <f>'(B3) Struktura Funksionale'!C30</f>
        <v>Marrdheniet me komunitetin</v>
      </c>
      <c r="C85" s="899"/>
      <c r="D85" s="899"/>
      <c r="E85" s="900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23">IF(C86&lt;0,"STOPP!","OK!")</f>
        <v>OK!</v>
      </c>
      <c r="G86" s="407" t="str">
        <f t="shared" ref="G86:G90" si="324">IF(D86&lt;0,"STOPP!","OK!")</f>
        <v>OK!</v>
      </c>
      <c r="H86" s="407" t="str">
        <f t="shared" ref="H86:H90" si="325">IF(E86&lt;0,"STOPP!","OK!")</f>
        <v>OK!</v>
      </c>
      <c r="I86" s="407" t="str">
        <f t="shared" ref="I86:I90" si="326">IF(F86&lt;0,"STOPP!","OK!")</f>
        <v>OK!</v>
      </c>
      <c r="J86" s="407" t="str">
        <f t="shared" ref="J86:J90" si="327">IF(G86&lt;0,"STOPP!","OK!")</f>
        <v>OK!</v>
      </c>
      <c r="K86" s="407" t="str">
        <f t="shared" ref="K86:K90" si="328">IF(H86&lt;0,"STOPP!","OK!")</f>
        <v>OK!</v>
      </c>
      <c r="L86" s="407" t="str">
        <f t="shared" ref="L86:L90" si="329">IF(I86&lt;0,"STOPP!","OK!")</f>
        <v>OK!</v>
      </c>
      <c r="M86" s="407" t="str">
        <f t="shared" ref="M86:M90" si="330">IF(J86&lt;0,"STOPP!","OK!")</f>
        <v>OK!</v>
      </c>
      <c r="N86" s="407" t="str">
        <f t="shared" ref="N86:N90" si="331">IF(K86&lt;0,"STOPP!","OK!")</f>
        <v>OK!</v>
      </c>
      <c r="O86" s="407" t="str">
        <f t="shared" ref="O86:O90" si="332">IF(L86&lt;0,"STOPP!","OK!")</f>
        <v>OK!</v>
      </c>
      <c r="P86" s="407" t="str">
        <f t="shared" ref="P86:P90" si="333">IF(M86&lt;0,"STOPP!","OK!")</f>
        <v>OK!</v>
      </c>
      <c r="Q86" s="407" t="str">
        <f t="shared" ref="Q86:Q90" si="334">IF(N86&lt;0,"STOPP!","OK!")</f>
        <v>OK!</v>
      </c>
      <c r="R86" s="407" t="str">
        <f t="shared" ref="R86:R90" si="335">IF(O86&lt;0,"STOPP!","OK!")</f>
        <v>OK!</v>
      </c>
      <c r="S86" s="407" t="str">
        <f t="shared" ref="S86:S88" si="336">IF(D86&lt;0,"STOPP!","OK!")</f>
        <v>OK!</v>
      </c>
      <c r="T86" s="407" t="str">
        <f t="shared" ref="T86:T88" si="337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7" t="str">
        <f t="shared" si="323"/>
        <v>OK!</v>
      </c>
      <c r="G87" s="407" t="str">
        <f t="shared" si="324"/>
        <v>OK!</v>
      </c>
      <c r="H87" s="407" t="str">
        <f t="shared" si="325"/>
        <v>OK!</v>
      </c>
      <c r="I87" s="407" t="str">
        <f t="shared" si="326"/>
        <v>OK!</v>
      </c>
      <c r="J87" s="407" t="str">
        <f t="shared" si="327"/>
        <v>OK!</v>
      </c>
      <c r="K87" s="407" t="str">
        <f t="shared" si="328"/>
        <v>OK!</v>
      </c>
      <c r="L87" s="407" t="str">
        <f t="shared" si="329"/>
        <v>OK!</v>
      </c>
      <c r="M87" s="407" t="str">
        <f t="shared" si="330"/>
        <v>OK!</v>
      </c>
      <c r="N87" s="407" t="str">
        <f t="shared" si="331"/>
        <v>OK!</v>
      </c>
      <c r="O87" s="407" t="str">
        <f t="shared" si="332"/>
        <v>OK!</v>
      </c>
      <c r="P87" s="407" t="str">
        <f t="shared" si="333"/>
        <v>OK!</v>
      </c>
      <c r="Q87" s="407" t="str">
        <f t="shared" si="334"/>
        <v>OK!</v>
      </c>
      <c r="R87" s="407" t="str">
        <f t="shared" si="335"/>
        <v>OK!</v>
      </c>
      <c r="S87" s="407" t="str">
        <f t="shared" si="336"/>
        <v>OK!</v>
      </c>
      <c r="T87" s="407" t="str">
        <f t="shared" si="337"/>
        <v>OK!</v>
      </c>
    </row>
    <row r="88" spans="1:20" x14ac:dyDescent="0.15">
      <c r="A88" s="565" t="str">
        <f>A$10</f>
        <v>Shpenzimet kapitale</v>
      </c>
      <c r="B88" s="566"/>
      <c r="C88" s="563">
        <f>C89-C86-C87</f>
        <v>0</v>
      </c>
      <c r="D88" s="561">
        <f>D89-D86-D87</f>
        <v>0</v>
      </c>
      <c r="E88" s="561">
        <f>E89-E86-E87</f>
        <v>0</v>
      </c>
      <c r="F88" s="407" t="str">
        <f t="shared" si="323"/>
        <v>OK!</v>
      </c>
      <c r="G88" s="407" t="str">
        <f t="shared" si="324"/>
        <v>OK!</v>
      </c>
      <c r="H88" s="407" t="str">
        <f t="shared" si="325"/>
        <v>OK!</v>
      </c>
      <c r="I88" s="407" t="str">
        <f t="shared" si="326"/>
        <v>OK!</v>
      </c>
      <c r="J88" s="407" t="str">
        <f t="shared" si="327"/>
        <v>OK!</v>
      </c>
      <c r="K88" s="407" t="str">
        <f t="shared" si="328"/>
        <v>OK!</v>
      </c>
      <c r="L88" s="407" t="str">
        <f t="shared" si="329"/>
        <v>OK!</v>
      </c>
      <c r="M88" s="407" t="str">
        <f t="shared" si="330"/>
        <v>OK!</v>
      </c>
      <c r="N88" s="407" t="str">
        <f t="shared" si="331"/>
        <v>OK!</v>
      </c>
      <c r="O88" s="407" t="str">
        <f t="shared" si="332"/>
        <v>OK!</v>
      </c>
      <c r="P88" s="407" t="str">
        <f t="shared" si="333"/>
        <v>OK!</v>
      </c>
      <c r="Q88" s="407" t="str">
        <f t="shared" si="334"/>
        <v>OK!</v>
      </c>
      <c r="R88" s="407" t="str">
        <f t="shared" si="335"/>
        <v>OK!</v>
      </c>
      <c r="S88" s="407" t="str">
        <f t="shared" si="336"/>
        <v>OK!</v>
      </c>
      <c r="T88" s="407" t="str">
        <f t="shared" si="337"/>
        <v>OK!</v>
      </c>
    </row>
    <row r="89" spans="1:20" x14ac:dyDescent="0.15">
      <c r="A89" s="555" t="str">
        <f>A$11</f>
        <v>Tavanet e përgjithshme</v>
      </c>
      <c r="B89" s="556"/>
      <c r="C89" s="564"/>
      <c r="D89" s="562"/>
      <c r="E89" s="562"/>
      <c r="F89" s="407" t="str">
        <f>IF(C89&lt;0,"STOPP!","OK!")</f>
        <v>OK!</v>
      </c>
      <c r="G89" s="407" t="str">
        <f t="shared" si="324"/>
        <v>OK!</v>
      </c>
      <c r="H89" s="407" t="str">
        <f t="shared" si="325"/>
        <v>OK!</v>
      </c>
      <c r="I89" s="407" t="str">
        <f t="shared" si="326"/>
        <v>OK!</v>
      </c>
      <c r="J89" s="407" t="str">
        <f t="shared" si="327"/>
        <v>OK!</v>
      </c>
      <c r="K89" s="407" t="str">
        <f t="shared" si="328"/>
        <v>OK!</v>
      </c>
      <c r="L89" s="407" t="str">
        <f t="shared" si="329"/>
        <v>OK!</v>
      </c>
      <c r="M89" s="407" t="str">
        <f t="shared" si="330"/>
        <v>OK!</v>
      </c>
      <c r="N89" s="407" t="str">
        <f t="shared" si="331"/>
        <v>OK!</v>
      </c>
      <c r="O89" s="407" t="str">
        <f t="shared" si="332"/>
        <v>OK!</v>
      </c>
      <c r="P89" s="407" t="str">
        <f t="shared" si="333"/>
        <v>OK!</v>
      </c>
      <c r="Q89" s="407" t="str">
        <f t="shared" si="334"/>
        <v>OK!</v>
      </c>
      <c r="R89" s="407" t="str">
        <f t="shared" si="335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7" t="str">
        <f>A$12</f>
        <v>Angazhimet kujtesë</v>
      </c>
      <c r="B90" s="563"/>
      <c r="C90" s="563">
        <f>'(C5) Angazhimet'!D34</f>
        <v>0</v>
      </c>
      <c r="D90" s="563">
        <f>'(C5) Angazhimet'!E34</f>
        <v>0</v>
      </c>
      <c r="E90" s="563">
        <f>'(C5) Angazhimet'!F34</f>
        <v>0</v>
      </c>
      <c r="F90" s="407" t="str">
        <f>IF(C90&gt;C89,"STOPP!","OK!")</f>
        <v>OK!</v>
      </c>
      <c r="G90" s="407" t="str">
        <f t="shared" si="324"/>
        <v>OK!</v>
      </c>
      <c r="H90" s="407" t="str">
        <f t="shared" si="325"/>
        <v>OK!</v>
      </c>
      <c r="I90" s="407" t="str">
        <f t="shared" si="326"/>
        <v>OK!</v>
      </c>
      <c r="J90" s="407" t="str">
        <f t="shared" si="327"/>
        <v>OK!</v>
      </c>
      <c r="K90" s="407" t="str">
        <f t="shared" si="328"/>
        <v>OK!</v>
      </c>
      <c r="L90" s="407" t="str">
        <f t="shared" si="329"/>
        <v>OK!</v>
      </c>
      <c r="M90" s="407" t="str">
        <f t="shared" si="330"/>
        <v>OK!</v>
      </c>
      <c r="N90" s="407" t="str">
        <f t="shared" si="331"/>
        <v>OK!</v>
      </c>
      <c r="O90" s="407" t="str">
        <f t="shared" si="332"/>
        <v>OK!</v>
      </c>
      <c r="P90" s="407" t="str">
        <f t="shared" si="333"/>
        <v>OK!</v>
      </c>
      <c r="Q90" s="407" t="str">
        <f t="shared" si="334"/>
        <v>OK!</v>
      </c>
      <c r="R90" s="407" t="str">
        <f t="shared" si="335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6" t="str">
        <f>'(B2) Struktura Organizative'!A19</f>
        <v>Nënfunksioni 6</v>
      </c>
      <c r="B91" s="894" t="str">
        <f>'(B2) Struktura Organizative'!B19</f>
        <v>041 Çështjet e përgjithshme ekonomike, tregtare dhe të punës</v>
      </c>
      <c r="C91" s="895"/>
      <c r="D91" s="895"/>
      <c r="E91" s="896"/>
      <c r="G91" s="312">
        <f>C95</f>
        <v>1631</v>
      </c>
      <c r="H91" s="312">
        <f t="shared" ref="H91" si="338">D95</f>
        <v>1631</v>
      </c>
      <c r="I91" s="312">
        <f t="shared" ref="I91" si="339">E95</f>
        <v>1631</v>
      </c>
      <c r="J91" s="312">
        <f>C92</f>
        <v>1551</v>
      </c>
      <c r="K91" s="312">
        <f t="shared" ref="K91" si="340">D92</f>
        <v>1551</v>
      </c>
      <c r="L91" s="312">
        <f t="shared" ref="L91" si="341">E92</f>
        <v>1551</v>
      </c>
      <c r="M91" s="312">
        <f>C93</f>
        <v>80</v>
      </c>
      <c r="N91" s="312">
        <f t="shared" ref="N91" si="342">D93</f>
        <v>80</v>
      </c>
      <c r="O91" s="312">
        <f t="shared" ref="O91" si="343">E93</f>
        <v>80</v>
      </c>
      <c r="P91" s="312">
        <f>C94</f>
        <v>0</v>
      </c>
      <c r="Q91" s="312">
        <f t="shared" ref="Q91" si="344">D94</f>
        <v>0</v>
      </c>
      <c r="R91" s="312">
        <f t="shared" ref="R91" si="345">E94</f>
        <v>0</v>
      </c>
    </row>
    <row r="92" spans="1:20" x14ac:dyDescent="0.15">
      <c r="A92" s="286" t="str">
        <f>A$8</f>
        <v>Pagat dhe sigurimet shoqërore</v>
      </c>
      <c r="B92" s="286"/>
      <c r="C92" s="563">
        <f>C98+C104+C110+C116</f>
        <v>1551</v>
      </c>
      <c r="D92" s="563">
        <f t="shared" ref="D92:E92" si="346">D98+D104+D110+D116</f>
        <v>1551</v>
      </c>
      <c r="E92" s="563">
        <f t="shared" si="346"/>
        <v>1551</v>
      </c>
      <c r="F92" s="407" t="str">
        <f t="shared" ref="F92:F94" si="347">IF(C92&lt;0,"STOPP!","OK!")</f>
        <v>OK!</v>
      </c>
      <c r="G92" s="407" t="str">
        <f t="shared" ref="G92:G94" si="348">IF(D92&lt;0,"STOPP!","OK!")</f>
        <v>OK!</v>
      </c>
      <c r="H92" s="407" t="str">
        <f t="shared" ref="H92:H94" si="349">IF(E92&lt;0,"STOPP!","OK!")</f>
        <v>OK!</v>
      </c>
      <c r="I92" s="407" t="str">
        <f t="shared" ref="I92:I94" si="350">IF(F92&lt;0,"STOPP!","OK!")</f>
        <v>OK!</v>
      </c>
      <c r="J92" s="407" t="str">
        <f t="shared" ref="J92:J94" si="351">IF(G92&lt;0,"STOPP!","OK!")</f>
        <v>OK!</v>
      </c>
      <c r="K92" s="407" t="str">
        <f t="shared" ref="K92:K94" si="352">IF(H92&lt;0,"STOPP!","OK!")</f>
        <v>OK!</v>
      </c>
      <c r="L92" s="407" t="str">
        <f t="shared" ref="L92:L94" si="353">IF(I92&lt;0,"STOPP!","OK!")</f>
        <v>OK!</v>
      </c>
      <c r="M92" s="407" t="str">
        <f t="shared" ref="M92:M94" si="354">IF(J92&lt;0,"STOPP!","OK!")</f>
        <v>OK!</v>
      </c>
      <c r="N92" s="407" t="str">
        <f t="shared" ref="N92:N94" si="355">IF(K92&lt;0,"STOPP!","OK!")</f>
        <v>OK!</v>
      </c>
      <c r="O92" s="407" t="str">
        <f t="shared" ref="O92:O94" si="356">IF(L92&lt;0,"STOPP!","OK!")</f>
        <v>OK!</v>
      </c>
      <c r="P92" s="407" t="str">
        <f t="shared" ref="P92:P94" si="357">IF(M92&lt;0,"STOPP!","OK!")</f>
        <v>OK!</v>
      </c>
      <c r="Q92" s="407" t="str">
        <f t="shared" ref="Q92:Q94" si="358">IF(N92&lt;0,"STOPP!","OK!")</f>
        <v>OK!</v>
      </c>
      <c r="R92" s="407" t="str">
        <f t="shared" ref="R92:R94" si="359">IF(O92&lt;0,"STOPP!","OK!")</f>
        <v>OK!</v>
      </c>
      <c r="S92" s="407" t="str">
        <f t="shared" ref="S92:S94" si="360">IF(D92&lt;0,"STOPP!","OK!")</f>
        <v>OK!</v>
      </c>
      <c r="T92" s="407" t="str">
        <f t="shared" ref="T92:T94" si="361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3">
        <f>C99+C105+C111+C117</f>
        <v>80</v>
      </c>
      <c r="D93" s="563">
        <f t="shared" ref="D93:E93" si="362">D99+D105+D111+D117</f>
        <v>80</v>
      </c>
      <c r="E93" s="563">
        <f t="shared" si="362"/>
        <v>80</v>
      </c>
      <c r="F93" s="407" t="str">
        <f t="shared" si="347"/>
        <v>OK!</v>
      </c>
      <c r="G93" s="407" t="str">
        <f t="shared" si="348"/>
        <v>OK!</v>
      </c>
      <c r="H93" s="407" t="str">
        <f t="shared" si="349"/>
        <v>OK!</v>
      </c>
      <c r="I93" s="407" t="str">
        <f t="shared" si="350"/>
        <v>OK!</v>
      </c>
      <c r="J93" s="407" t="str">
        <f t="shared" si="351"/>
        <v>OK!</v>
      </c>
      <c r="K93" s="407" t="str">
        <f t="shared" si="352"/>
        <v>OK!</v>
      </c>
      <c r="L93" s="407" t="str">
        <f t="shared" si="353"/>
        <v>OK!</v>
      </c>
      <c r="M93" s="407" t="str">
        <f t="shared" si="354"/>
        <v>OK!</v>
      </c>
      <c r="N93" s="407" t="str">
        <f t="shared" si="355"/>
        <v>OK!</v>
      </c>
      <c r="O93" s="407" t="str">
        <f t="shared" si="356"/>
        <v>OK!</v>
      </c>
      <c r="P93" s="407" t="str">
        <f t="shared" si="357"/>
        <v>OK!</v>
      </c>
      <c r="Q93" s="407" t="str">
        <f t="shared" si="358"/>
        <v>OK!</v>
      </c>
      <c r="R93" s="407" t="str">
        <f t="shared" si="359"/>
        <v>OK!</v>
      </c>
      <c r="S93" s="407" t="str">
        <f t="shared" si="360"/>
        <v>OK!</v>
      </c>
      <c r="T93" s="407" t="str">
        <f t="shared" si="361"/>
        <v>OK!</v>
      </c>
    </row>
    <row r="94" spans="1:20" x14ac:dyDescent="0.15">
      <c r="A94" s="565" t="str">
        <f>A$10</f>
        <v>Shpenzimet kapitale</v>
      </c>
      <c r="B94" s="566"/>
      <c r="C94" s="563">
        <f>C95-C92-C93</f>
        <v>0</v>
      </c>
      <c r="D94" s="561">
        <f>D95-D92-D93</f>
        <v>0</v>
      </c>
      <c r="E94" s="561">
        <f>E95-E92-E93</f>
        <v>0</v>
      </c>
      <c r="F94" s="407" t="str">
        <f t="shared" si="347"/>
        <v>OK!</v>
      </c>
      <c r="G94" s="407" t="str">
        <f t="shared" si="348"/>
        <v>OK!</v>
      </c>
      <c r="H94" s="407" t="str">
        <f t="shared" si="349"/>
        <v>OK!</v>
      </c>
      <c r="I94" s="407" t="str">
        <f t="shared" si="350"/>
        <v>OK!</v>
      </c>
      <c r="J94" s="407" t="str">
        <f t="shared" si="351"/>
        <v>OK!</v>
      </c>
      <c r="K94" s="407" t="str">
        <f t="shared" si="352"/>
        <v>OK!</v>
      </c>
      <c r="L94" s="407" t="str">
        <f t="shared" si="353"/>
        <v>OK!</v>
      </c>
      <c r="M94" s="407" t="str">
        <f t="shared" si="354"/>
        <v>OK!</v>
      </c>
      <c r="N94" s="407" t="str">
        <f t="shared" si="355"/>
        <v>OK!</v>
      </c>
      <c r="O94" s="407" t="str">
        <f t="shared" si="356"/>
        <v>OK!</v>
      </c>
      <c r="P94" s="407" t="str">
        <f t="shared" si="357"/>
        <v>OK!</v>
      </c>
      <c r="Q94" s="407" t="str">
        <f t="shared" si="358"/>
        <v>OK!</v>
      </c>
      <c r="R94" s="407" t="str">
        <f t="shared" si="359"/>
        <v>OK!</v>
      </c>
      <c r="S94" s="407" t="str">
        <f t="shared" si="360"/>
        <v>OK!</v>
      </c>
      <c r="T94" s="407" t="str">
        <f t="shared" si="361"/>
        <v>OK!</v>
      </c>
    </row>
    <row r="95" spans="1:20" x14ac:dyDescent="0.15">
      <c r="A95" s="555" t="str">
        <f>A$11</f>
        <v>Tavanet e përgjithshme</v>
      </c>
      <c r="B95" s="556"/>
      <c r="C95" s="563">
        <f>C101+C107+C113+C119</f>
        <v>1631</v>
      </c>
      <c r="D95" s="563">
        <f t="shared" ref="D95:E95" si="363">D101+D107+D113+D119</f>
        <v>1631</v>
      </c>
      <c r="E95" s="563">
        <f t="shared" si="363"/>
        <v>1631</v>
      </c>
      <c r="F95" s="407" t="str">
        <f>IF(C95&lt;0,"STOPP!","OK!")</f>
        <v>OK!</v>
      </c>
      <c r="G95" s="407" t="str">
        <f t="shared" ref="G95:G96" si="364">IF(D95&lt;0,"STOPP!","OK!")</f>
        <v>OK!</v>
      </c>
      <c r="H95" s="407" t="str">
        <f t="shared" ref="H95:H96" si="365">IF(E95&lt;0,"STOPP!","OK!")</f>
        <v>OK!</v>
      </c>
      <c r="I95" s="407" t="str">
        <f t="shared" ref="I95:I96" si="366">IF(F95&lt;0,"STOPP!","OK!")</f>
        <v>OK!</v>
      </c>
      <c r="J95" s="407" t="str">
        <f t="shared" ref="J95:J96" si="367">IF(G95&lt;0,"STOPP!","OK!")</f>
        <v>OK!</v>
      </c>
      <c r="K95" s="407" t="str">
        <f t="shared" ref="K95:K96" si="368">IF(H95&lt;0,"STOPP!","OK!")</f>
        <v>OK!</v>
      </c>
      <c r="L95" s="407" t="str">
        <f t="shared" ref="L95:L96" si="369">IF(I95&lt;0,"STOPP!","OK!")</f>
        <v>OK!</v>
      </c>
      <c r="M95" s="407" t="str">
        <f t="shared" ref="M95:M96" si="370">IF(J95&lt;0,"STOPP!","OK!")</f>
        <v>OK!</v>
      </c>
      <c r="N95" s="407" t="str">
        <f t="shared" ref="N95:N96" si="371">IF(K95&lt;0,"STOPP!","OK!")</f>
        <v>OK!</v>
      </c>
      <c r="O95" s="407" t="str">
        <f t="shared" ref="O95:O96" si="372">IF(L95&lt;0,"STOPP!","OK!")</f>
        <v>OK!</v>
      </c>
      <c r="P95" s="407" t="str">
        <f t="shared" ref="P95:P96" si="373">IF(M95&lt;0,"STOPP!","OK!")</f>
        <v>OK!</v>
      </c>
      <c r="Q95" s="407" t="str">
        <f t="shared" ref="Q95:Q96" si="374">IF(N95&lt;0,"STOPP!","OK!")</f>
        <v>OK!</v>
      </c>
      <c r="R95" s="407" t="str">
        <f t="shared" ref="R95:R96" si="375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7" t="str">
        <f>A$12</f>
        <v>Angazhimet kujtesë</v>
      </c>
      <c r="B96" s="563"/>
      <c r="C96" s="563">
        <f>'(C5) Angazhimet'!D45</f>
        <v>0</v>
      </c>
      <c r="D96" s="561">
        <f>'(C5) Angazhimet'!E45</f>
        <v>0</v>
      </c>
      <c r="E96" s="561">
        <f>'(C5) Angazhimet'!F45</f>
        <v>0</v>
      </c>
      <c r="F96" s="407" t="str">
        <f>IF(C96&gt;C95,"STOPP!","OK!")</f>
        <v>OK!</v>
      </c>
      <c r="G96" s="407" t="str">
        <f t="shared" si="364"/>
        <v>OK!</v>
      </c>
      <c r="H96" s="407" t="str">
        <f t="shared" si="365"/>
        <v>OK!</v>
      </c>
      <c r="I96" s="407" t="str">
        <f t="shared" si="366"/>
        <v>OK!</v>
      </c>
      <c r="J96" s="407" t="str">
        <f t="shared" si="367"/>
        <v>OK!</v>
      </c>
      <c r="K96" s="407" t="str">
        <f t="shared" si="368"/>
        <v>OK!</v>
      </c>
      <c r="L96" s="407" t="str">
        <f t="shared" si="369"/>
        <v>OK!</v>
      </c>
      <c r="M96" s="407" t="str">
        <f t="shared" si="370"/>
        <v>OK!</v>
      </c>
      <c r="N96" s="407" t="str">
        <f t="shared" si="371"/>
        <v>OK!</v>
      </c>
      <c r="O96" s="407" t="str">
        <f t="shared" si="372"/>
        <v>OK!</v>
      </c>
      <c r="P96" s="407" t="str">
        <f t="shared" si="373"/>
        <v>OK!</v>
      </c>
      <c r="Q96" s="407" t="str">
        <f t="shared" si="374"/>
        <v>OK!</v>
      </c>
      <c r="R96" s="407" t="str">
        <f t="shared" si="375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7" t="str">
        <f>'(B3) Struktura Funksionale'!B35</f>
        <v>04110</v>
      </c>
      <c r="B97" s="891" t="str">
        <f>'(B3) Struktura Funksionale'!C35</f>
        <v xml:space="preserve">Çështjet e përgjithshme ekonomike dhe tregtare </v>
      </c>
      <c r="C97" s="892"/>
      <c r="D97" s="892"/>
      <c r="E97" s="893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6">IF(C98&lt;0,"STOPP!","OK!")</f>
        <v>OK!</v>
      </c>
      <c r="G98" s="407" t="str">
        <f t="shared" ref="G98:G102" si="377">IF(D98&lt;0,"STOPP!","OK!")</f>
        <v>OK!</v>
      </c>
      <c r="H98" s="407" t="str">
        <f t="shared" ref="H98:H102" si="378">IF(E98&lt;0,"STOPP!","OK!")</f>
        <v>OK!</v>
      </c>
      <c r="I98" s="407" t="str">
        <f t="shared" ref="I98:I102" si="379">IF(F98&lt;0,"STOPP!","OK!")</f>
        <v>OK!</v>
      </c>
      <c r="J98" s="407" t="str">
        <f t="shared" ref="J98:J102" si="380">IF(G98&lt;0,"STOPP!","OK!")</f>
        <v>OK!</v>
      </c>
      <c r="K98" s="407" t="str">
        <f t="shared" ref="K98:K102" si="381">IF(H98&lt;0,"STOPP!","OK!")</f>
        <v>OK!</v>
      </c>
      <c r="L98" s="407" t="str">
        <f t="shared" ref="L98:L102" si="382">IF(I98&lt;0,"STOPP!","OK!")</f>
        <v>OK!</v>
      </c>
      <c r="M98" s="407" t="str">
        <f t="shared" ref="M98:M102" si="383">IF(J98&lt;0,"STOPP!","OK!")</f>
        <v>OK!</v>
      </c>
      <c r="N98" s="407" t="str">
        <f t="shared" ref="N98:N102" si="384">IF(K98&lt;0,"STOPP!","OK!")</f>
        <v>OK!</v>
      </c>
      <c r="O98" s="407" t="str">
        <f t="shared" ref="O98:O102" si="385">IF(L98&lt;0,"STOPP!","OK!")</f>
        <v>OK!</v>
      </c>
      <c r="P98" s="407" t="str">
        <f t="shared" ref="P98:P102" si="386">IF(M98&lt;0,"STOPP!","OK!")</f>
        <v>OK!</v>
      </c>
      <c r="Q98" s="407" t="str">
        <f t="shared" ref="Q98:Q102" si="387">IF(N98&lt;0,"STOPP!","OK!")</f>
        <v>OK!</v>
      </c>
      <c r="R98" s="407" t="str">
        <f t="shared" ref="R98:R102" si="388">IF(O98&lt;0,"STOPP!","OK!")</f>
        <v>OK!</v>
      </c>
      <c r="S98" s="407" t="str">
        <f t="shared" ref="S98:S100" si="389">IF(D98&lt;0,"STOPP!","OK!")</f>
        <v>OK!</v>
      </c>
      <c r="T98" s="407" t="str">
        <f t="shared" ref="T98:T100" si="390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6"/>
        <v>OK!</v>
      </c>
      <c r="G99" s="407" t="str">
        <f t="shared" si="377"/>
        <v>OK!</v>
      </c>
      <c r="H99" s="407" t="str">
        <f t="shared" si="378"/>
        <v>OK!</v>
      </c>
      <c r="I99" s="407" t="str">
        <f t="shared" si="379"/>
        <v>OK!</v>
      </c>
      <c r="J99" s="407" t="str">
        <f t="shared" si="380"/>
        <v>OK!</v>
      </c>
      <c r="K99" s="407" t="str">
        <f t="shared" si="381"/>
        <v>OK!</v>
      </c>
      <c r="L99" s="407" t="str">
        <f t="shared" si="382"/>
        <v>OK!</v>
      </c>
      <c r="M99" s="407" t="str">
        <f t="shared" si="383"/>
        <v>OK!</v>
      </c>
      <c r="N99" s="407" t="str">
        <f t="shared" si="384"/>
        <v>OK!</v>
      </c>
      <c r="O99" s="407" t="str">
        <f t="shared" si="385"/>
        <v>OK!</v>
      </c>
      <c r="P99" s="407" t="str">
        <f t="shared" si="386"/>
        <v>OK!</v>
      </c>
      <c r="Q99" s="407" t="str">
        <f t="shared" si="387"/>
        <v>OK!</v>
      </c>
      <c r="R99" s="407" t="str">
        <f t="shared" si="388"/>
        <v>OK!</v>
      </c>
      <c r="S99" s="407" t="str">
        <f t="shared" si="389"/>
        <v>OK!</v>
      </c>
      <c r="T99" s="407" t="str">
        <f t="shared" si="390"/>
        <v>OK!</v>
      </c>
    </row>
    <row r="100" spans="1:20" hidden="1" x14ac:dyDescent="0.15">
      <c r="A100" s="565" t="str">
        <f>A$10</f>
        <v>Shpenzimet kapitale</v>
      </c>
      <c r="B100" s="566"/>
      <c r="C100" s="563">
        <f>C101-C98-C99</f>
        <v>0</v>
      </c>
      <c r="D100" s="561">
        <f>D101-D98-D99</f>
        <v>0</v>
      </c>
      <c r="E100" s="561">
        <f>E101-E98-E99</f>
        <v>0</v>
      </c>
      <c r="F100" s="407" t="str">
        <f t="shared" si="376"/>
        <v>OK!</v>
      </c>
      <c r="G100" s="407" t="str">
        <f t="shared" si="377"/>
        <v>OK!</v>
      </c>
      <c r="H100" s="407" t="str">
        <f t="shared" si="378"/>
        <v>OK!</v>
      </c>
      <c r="I100" s="407" t="str">
        <f t="shared" si="379"/>
        <v>OK!</v>
      </c>
      <c r="J100" s="407" t="str">
        <f t="shared" si="380"/>
        <v>OK!</v>
      </c>
      <c r="K100" s="407" t="str">
        <f t="shared" si="381"/>
        <v>OK!</v>
      </c>
      <c r="L100" s="407" t="str">
        <f t="shared" si="382"/>
        <v>OK!</v>
      </c>
      <c r="M100" s="407" t="str">
        <f t="shared" si="383"/>
        <v>OK!</v>
      </c>
      <c r="N100" s="407" t="str">
        <f t="shared" si="384"/>
        <v>OK!</v>
      </c>
      <c r="O100" s="407" t="str">
        <f t="shared" si="385"/>
        <v>OK!</v>
      </c>
      <c r="P100" s="407" t="str">
        <f t="shared" si="386"/>
        <v>OK!</v>
      </c>
      <c r="Q100" s="407" t="str">
        <f t="shared" si="387"/>
        <v>OK!</v>
      </c>
      <c r="R100" s="407" t="str">
        <f t="shared" si="388"/>
        <v>OK!</v>
      </c>
      <c r="S100" s="407" t="str">
        <f t="shared" si="389"/>
        <v>OK!</v>
      </c>
      <c r="T100" s="407" t="str">
        <f t="shared" si="390"/>
        <v>OK!</v>
      </c>
    </row>
    <row r="101" spans="1:20" hidden="1" x14ac:dyDescent="0.15">
      <c r="A101" s="555" t="str">
        <f>A$11</f>
        <v>Tavanet e përgjithshme</v>
      </c>
      <c r="B101" s="556"/>
      <c r="C101" s="564"/>
      <c r="D101" s="562"/>
      <c r="E101" s="562"/>
      <c r="F101" s="407" t="str">
        <f>IF(C101&lt;0,"STOPP!","OK!")</f>
        <v>OK!</v>
      </c>
      <c r="G101" s="407" t="str">
        <f t="shared" si="377"/>
        <v>OK!</v>
      </c>
      <c r="H101" s="407" t="str">
        <f t="shared" si="378"/>
        <v>OK!</v>
      </c>
      <c r="I101" s="407" t="str">
        <f t="shared" si="379"/>
        <v>OK!</v>
      </c>
      <c r="J101" s="407" t="str">
        <f t="shared" si="380"/>
        <v>OK!</v>
      </c>
      <c r="K101" s="407" t="str">
        <f t="shared" si="381"/>
        <v>OK!</v>
      </c>
      <c r="L101" s="407" t="str">
        <f t="shared" si="382"/>
        <v>OK!</v>
      </c>
      <c r="M101" s="407" t="str">
        <f t="shared" si="383"/>
        <v>OK!</v>
      </c>
      <c r="N101" s="407" t="str">
        <f t="shared" si="384"/>
        <v>OK!</v>
      </c>
      <c r="O101" s="407" t="str">
        <f t="shared" si="385"/>
        <v>OK!</v>
      </c>
      <c r="P101" s="407" t="str">
        <f t="shared" si="386"/>
        <v>OK!</v>
      </c>
      <c r="Q101" s="407" t="str">
        <f t="shared" si="387"/>
        <v>OK!</v>
      </c>
      <c r="R101" s="407" t="str">
        <f t="shared" si="388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7" t="str">
        <f>A$12</f>
        <v>Angazhimet kujtesë</v>
      </c>
      <c r="B102" s="563"/>
      <c r="C102" s="563">
        <f>'(C5) Angazhimet'!D39</f>
        <v>0</v>
      </c>
      <c r="D102" s="563">
        <f>'(C5) Angazhimet'!E39</f>
        <v>0</v>
      </c>
      <c r="E102" s="563">
        <f>'(C5) Angazhimet'!F39</f>
        <v>0</v>
      </c>
      <c r="F102" s="407" t="str">
        <f>IF(C102&gt;C101,"STOPP!","OK!")</f>
        <v>OK!</v>
      </c>
      <c r="G102" s="407" t="str">
        <f t="shared" si="377"/>
        <v>OK!</v>
      </c>
      <c r="H102" s="407" t="str">
        <f t="shared" si="378"/>
        <v>OK!</v>
      </c>
      <c r="I102" s="407" t="str">
        <f t="shared" si="379"/>
        <v>OK!</v>
      </c>
      <c r="J102" s="407" t="str">
        <f t="shared" si="380"/>
        <v>OK!</v>
      </c>
      <c r="K102" s="407" t="str">
        <f t="shared" si="381"/>
        <v>OK!</v>
      </c>
      <c r="L102" s="407" t="str">
        <f t="shared" si="382"/>
        <v>OK!</v>
      </c>
      <c r="M102" s="407" t="str">
        <f t="shared" si="383"/>
        <v>OK!</v>
      </c>
      <c r="N102" s="407" t="str">
        <f t="shared" si="384"/>
        <v>OK!</v>
      </c>
      <c r="O102" s="407" t="str">
        <f t="shared" si="385"/>
        <v>OK!</v>
      </c>
      <c r="P102" s="407" t="str">
        <f t="shared" si="386"/>
        <v>OK!</v>
      </c>
      <c r="Q102" s="407" t="str">
        <f t="shared" si="387"/>
        <v>OK!</v>
      </c>
      <c r="R102" s="407" t="str">
        <f t="shared" si="388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7" t="str">
        <f>'(B3) Struktura Funksionale'!B36</f>
        <v>04130</v>
      </c>
      <c r="B103" s="891" t="str">
        <f>'(B3) Struktura Funksionale'!C36</f>
        <v>Mbështetje për zhvillimin ekonomik</v>
      </c>
      <c r="C103" s="892"/>
      <c r="D103" s="892"/>
      <c r="E103" s="893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>
        <f>1330+221</f>
        <v>1551</v>
      </c>
      <c r="D104" s="287">
        <f t="shared" ref="D104:E104" si="391">1330+221</f>
        <v>1551</v>
      </c>
      <c r="E104" s="287">
        <f t="shared" si="391"/>
        <v>1551</v>
      </c>
      <c r="F104" s="407" t="str">
        <f t="shared" ref="F104:F106" si="392">IF(C104&lt;0,"STOPP!","OK!")</f>
        <v>OK!</v>
      </c>
      <c r="G104" s="407" t="str">
        <f t="shared" ref="G104:G108" si="393">IF(D104&lt;0,"STOPP!","OK!")</f>
        <v>OK!</v>
      </c>
      <c r="H104" s="407" t="str">
        <f t="shared" ref="H104:H108" si="394">IF(E104&lt;0,"STOPP!","OK!")</f>
        <v>OK!</v>
      </c>
      <c r="I104" s="407" t="str">
        <f t="shared" ref="I104:I108" si="395">IF(F104&lt;0,"STOPP!","OK!")</f>
        <v>OK!</v>
      </c>
      <c r="J104" s="407" t="str">
        <f t="shared" ref="J104:J108" si="396">IF(G104&lt;0,"STOPP!","OK!")</f>
        <v>OK!</v>
      </c>
      <c r="K104" s="407" t="str">
        <f t="shared" ref="K104:K108" si="397">IF(H104&lt;0,"STOPP!","OK!")</f>
        <v>OK!</v>
      </c>
      <c r="L104" s="407" t="str">
        <f t="shared" ref="L104:L108" si="398">IF(I104&lt;0,"STOPP!","OK!")</f>
        <v>OK!</v>
      </c>
      <c r="M104" s="407" t="str">
        <f t="shared" ref="M104:M108" si="399">IF(J104&lt;0,"STOPP!","OK!")</f>
        <v>OK!</v>
      </c>
      <c r="N104" s="407" t="str">
        <f t="shared" ref="N104:N108" si="400">IF(K104&lt;0,"STOPP!","OK!")</f>
        <v>OK!</v>
      </c>
      <c r="O104" s="407" t="str">
        <f t="shared" ref="O104:O108" si="401">IF(L104&lt;0,"STOPP!","OK!")</f>
        <v>OK!</v>
      </c>
      <c r="P104" s="407" t="str">
        <f t="shared" ref="P104:P108" si="402">IF(M104&lt;0,"STOPP!","OK!")</f>
        <v>OK!</v>
      </c>
      <c r="Q104" s="407" t="str">
        <f t="shared" ref="Q104:Q108" si="403">IF(N104&lt;0,"STOPP!","OK!")</f>
        <v>OK!</v>
      </c>
      <c r="R104" s="407" t="str">
        <f t="shared" ref="R104:R108" si="404">IF(O104&lt;0,"STOPP!","OK!")</f>
        <v>OK!</v>
      </c>
      <c r="S104" s="407" t="str">
        <f t="shared" ref="S104:S106" si="405">IF(D104&lt;0,"STOPP!","OK!")</f>
        <v>OK!</v>
      </c>
      <c r="T104" s="407" t="str">
        <f t="shared" ref="T104:T106" si="406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>
        <v>80</v>
      </c>
      <c r="D105" s="288">
        <v>80</v>
      </c>
      <c r="E105" s="288">
        <v>80</v>
      </c>
      <c r="F105" s="407" t="str">
        <f t="shared" si="392"/>
        <v>OK!</v>
      </c>
      <c r="G105" s="407" t="str">
        <f t="shared" si="393"/>
        <v>OK!</v>
      </c>
      <c r="H105" s="407" t="str">
        <f t="shared" si="394"/>
        <v>OK!</v>
      </c>
      <c r="I105" s="407" t="str">
        <f t="shared" si="395"/>
        <v>OK!</v>
      </c>
      <c r="J105" s="407" t="str">
        <f t="shared" si="396"/>
        <v>OK!</v>
      </c>
      <c r="K105" s="407" t="str">
        <f t="shared" si="397"/>
        <v>OK!</v>
      </c>
      <c r="L105" s="407" t="str">
        <f t="shared" si="398"/>
        <v>OK!</v>
      </c>
      <c r="M105" s="407" t="str">
        <f t="shared" si="399"/>
        <v>OK!</v>
      </c>
      <c r="N105" s="407" t="str">
        <f t="shared" si="400"/>
        <v>OK!</v>
      </c>
      <c r="O105" s="407" t="str">
        <f t="shared" si="401"/>
        <v>OK!</v>
      </c>
      <c r="P105" s="407" t="str">
        <f t="shared" si="402"/>
        <v>OK!</v>
      </c>
      <c r="Q105" s="407" t="str">
        <f t="shared" si="403"/>
        <v>OK!</v>
      </c>
      <c r="R105" s="407" t="str">
        <f t="shared" si="404"/>
        <v>OK!</v>
      </c>
      <c r="S105" s="407" t="str">
        <f t="shared" si="405"/>
        <v>OK!</v>
      </c>
      <c r="T105" s="407" t="str">
        <f t="shared" si="406"/>
        <v>OK!</v>
      </c>
    </row>
    <row r="106" spans="1:20" x14ac:dyDescent="0.15">
      <c r="A106" s="565" t="str">
        <f>A$10</f>
        <v>Shpenzimet kapitale</v>
      </c>
      <c r="B106" s="566"/>
      <c r="C106" s="563">
        <f>C107-C104-C105</f>
        <v>0</v>
      </c>
      <c r="D106" s="561">
        <f>D107-D104-D105</f>
        <v>0</v>
      </c>
      <c r="E106" s="561">
        <f>E107-E104-E105</f>
        <v>0</v>
      </c>
      <c r="F106" s="407" t="str">
        <f t="shared" si="392"/>
        <v>OK!</v>
      </c>
      <c r="G106" s="407" t="str">
        <f t="shared" si="393"/>
        <v>OK!</v>
      </c>
      <c r="H106" s="407" t="str">
        <f t="shared" si="394"/>
        <v>OK!</v>
      </c>
      <c r="I106" s="407" t="str">
        <f t="shared" si="395"/>
        <v>OK!</v>
      </c>
      <c r="J106" s="407" t="str">
        <f t="shared" si="396"/>
        <v>OK!</v>
      </c>
      <c r="K106" s="407" t="str">
        <f t="shared" si="397"/>
        <v>OK!</v>
      </c>
      <c r="L106" s="407" t="str">
        <f t="shared" si="398"/>
        <v>OK!</v>
      </c>
      <c r="M106" s="407" t="str">
        <f t="shared" si="399"/>
        <v>OK!</v>
      </c>
      <c r="N106" s="407" t="str">
        <f t="shared" si="400"/>
        <v>OK!</v>
      </c>
      <c r="O106" s="407" t="str">
        <f t="shared" si="401"/>
        <v>OK!</v>
      </c>
      <c r="P106" s="407" t="str">
        <f t="shared" si="402"/>
        <v>OK!</v>
      </c>
      <c r="Q106" s="407" t="str">
        <f t="shared" si="403"/>
        <v>OK!</v>
      </c>
      <c r="R106" s="407" t="str">
        <f t="shared" si="404"/>
        <v>OK!</v>
      </c>
      <c r="S106" s="407" t="str">
        <f t="shared" si="405"/>
        <v>OK!</v>
      </c>
      <c r="T106" s="407" t="str">
        <f t="shared" si="406"/>
        <v>OK!</v>
      </c>
    </row>
    <row r="107" spans="1:20" x14ac:dyDescent="0.15">
      <c r="A107" s="555" t="str">
        <f>A$11</f>
        <v>Tavanet e përgjithshme</v>
      </c>
      <c r="B107" s="556"/>
      <c r="C107" s="564">
        <v>1631</v>
      </c>
      <c r="D107" s="564">
        <v>1631</v>
      </c>
      <c r="E107" s="564">
        <v>1631</v>
      </c>
      <c r="F107" s="407" t="str">
        <f>IF(C107&lt;0,"STOPP!","OK!")</f>
        <v>OK!</v>
      </c>
      <c r="G107" s="407" t="str">
        <f t="shared" si="393"/>
        <v>OK!</v>
      </c>
      <c r="H107" s="407" t="str">
        <f t="shared" si="394"/>
        <v>OK!</v>
      </c>
      <c r="I107" s="407" t="str">
        <f t="shared" si="395"/>
        <v>OK!</v>
      </c>
      <c r="J107" s="407" t="str">
        <f t="shared" si="396"/>
        <v>OK!</v>
      </c>
      <c r="K107" s="407" t="str">
        <f t="shared" si="397"/>
        <v>OK!</v>
      </c>
      <c r="L107" s="407" t="str">
        <f t="shared" si="398"/>
        <v>OK!</v>
      </c>
      <c r="M107" s="407" t="str">
        <f t="shared" si="399"/>
        <v>OK!</v>
      </c>
      <c r="N107" s="407" t="str">
        <f t="shared" si="400"/>
        <v>OK!</v>
      </c>
      <c r="O107" s="407" t="str">
        <f t="shared" si="401"/>
        <v>OK!</v>
      </c>
      <c r="P107" s="407" t="str">
        <f t="shared" si="402"/>
        <v>OK!</v>
      </c>
      <c r="Q107" s="407" t="str">
        <f t="shared" si="403"/>
        <v>OK!</v>
      </c>
      <c r="R107" s="407" t="str">
        <f t="shared" si="404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7" t="str">
        <f>A$12</f>
        <v>Angazhimet kujtesë</v>
      </c>
      <c r="B108" s="563"/>
      <c r="C108" s="563">
        <f>'(C5) Angazhimet'!D40</f>
        <v>0</v>
      </c>
      <c r="D108" s="563">
        <f>'(C5) Angazhimet'!E40</f>
        <v>0</v>
      </c>
      <c r="E108" s="563">
        <f>'(C5) Angazhimet'!F40</f>
        <v>0</v>
      </c>
      <c r="F108" s="407" t="str">
        <f>IF(C108&gt;C107,"STOPP!","OK!")</f>
        <v>OK!</v>
      </c>
      <c r="G108" s="407" t="str">
        <f t="shared" si="393"/>
        <v>OK!</v>
      </c>
      <c r="H108" s="407" t="str">
        <f t="shared" si="394"/>
        <v>OK!</v>
      </c>
      <c r="I108" s="407" t="str">
        <f t="shared" si="395"/>
        <v>OK!</v>
      </c>
      <c r="J108" s="407" t="str">
        <f t="shared" si="396"/>
        <v>OK!</v>
      </c>
      <c r="K108" s="407" t="str">
        <f t="shared" si="397"/>
        <v>OK!</v>
      </c>
      <c r="L108" s="407" t="str">
        <f t="shared" si="398"/>
        <v>OK!</v>
      </c>
      <c r="M108" s="407" t="str">
        <f t="shared" si="399"/>
        <v>OK!</v>
      </c>
      <c r="N108" s="407" t="str">
        <f t="shared" si="400"/>
        <v>OK!</v>
      </c>
      <c r="O108" s="407" t="str">
        <f t="shared" si="401"/>
        <v>OK!</v>
      </c>
      <c r="P108" s="407" t="str">
        <f t="shared" si="402"/>
        <v>OK!</v>
      </c>
      <c r="Q108" s="407" t="str">
        <f t="shared" si="403"/>
        <v>OK!</v>
      </c>
      <c r="R108" s="407" t="str">
        <f t="shared" si="404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7" t="str">
        <f>'(B3) Struktura Funksionale'!B38</f>
        <v>04132</v>
      </c>
      <c r="B109" s="891" t="str">
        <f>'(B3) Struktura Funksionale'!C38</f>
        <v>Mbështetja e Zhvillimit rajonal</v>
      </c>
      <c r="C109" s="892"/>
      <c r="D109" s="892"/>
      <c r="E109" s="893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7">IF(C110&lt;0,"STOPP!","OK!")</f>
        <v>OK!</v>
      </c>
      <c r="G110" s="407" t="str">
        <f t="shared" ref="G110:G114" si="408">IF(D110&lt;0,"STOPP!","OK!")</f>
        <v>OK!</v>
      </c>
      <c r="H110" s="407" t="str">
        <f t="shared" ref="H110:H114" si="409">IF(E110&lt;0,"STOPP!","OK!")</f>
        <v>OK!</v>
      </c>
      <c r="I110" s="407" t="str">
        <f t="shared" ref="I110:I114" si="410">IF(F110&lt;0,"STOPP!","OK!")</f>
        <v>OK!</v>
      </c>
      <c r="J110" s="407" t="str">
        <f t="shared" ref="J110:J114" si="411">IF(G110&lt;0,"STOPP!","OK!")</f>
        <v>OK!</v>
      </c>
      <c r="K110" s="407" t="str">
        <f t="shared" ref="K110:K114" si="412">IF(H110&lt;0,"STOPP!","OK!")</f>
        <v>OK!</v>
      </c>
      <c r="L110" s="407" t="str">
        <f t="shared" ref="L110:L114" si="413">IF(I110&lt;0,"STOPP!","OK!")</f>
        <v>OK!</v>
      </c>
      <c r="M110" s="407" t="str">
        <f t="shared" ref="M110:M114" si="414">IF(J110&lt;0,"STOPP!","OK!")</f>
        <v>OK!</v>
      </c>
      <c r="N110" s="407" t="str">
        <f t="shared" ref="N110:N114" si="415">IF(K110&lt;0,"STOPP!","OK!")</f>
        <v>OK!</v>
      </c>
      <c r="O110" s="407" t="str">
        <f t="shared" ref="O110:O114" si="416">IF(L110&lt;0,"STOPP!","OK!")</f>
        <v>OK!</v>
      </c>
      <c r="P110" s="407" t="str">
        <f t="shared" ref="P110:P114" si="417">IF(M110&lt;0,"STOPP!","OK!")</f>
        <v>OK!</v>
      </c>
      <c r="Q110" s="407" t="str">
        <f t="shared" ref="Q110:Q114" si="418">IF(N110&lt;0,"STOPP!","OK!")</f>
        <v>OK!</v>
      </c>
      <c r="R110" s="407" t="str">
        <f t="shared" ref="R110:R114" si="419">IF(O110&lt;0,"STOPP!","OK!")</f>
        <v>OK!</v>
      </c>
      <c r="S110" s="407" t="str">
        <f t="shared" ref="S110:S112" si="420">IF(D110&lt;0,"STOPP!","OK!")</f>
        <v>OK!</v>
      </c>
      <c r="T110" s="407" t="str">
        <f t="shared" ref="T110:T112" si="421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7"/>
        <v>OK!</v>
      </c>
      <c r="G111" s="407" t="str">
        <f t="shared" si="408"/>
        <v>OK!</v>
      </c>
      <c r="H111" s="407" t="str">
        <f t="shared" si="409"/>
        <v>OK!</v>
      </c>
      <c r="I111" s="407" t="str">
        <f t="shared" si="410"/>
        <v>OK!</v>
      </c>
      <c r="J111" s="407" t="str">
        <f t="shared" si="411"/>
        <v>OK!</v>
      </c>
      <c r="K111" s="407" t="str">
        <f t="shared" si="412"/>
        <v>OK!</v>
      </c>
      <c r="L111" s="407" t="str">
        <f t="shared" si="413"/>
        <v>OK!</v>
      </c>
      <c r="M111" s="407" t="str">
        <f t="shared" si="414"/>
        <v>OK!</v>
      </c>
      <c r="N111" s="407" t="str">
        <f t="shared" si="415"/>
        <v>OK!</v>
      </c>
      <c r="O111" s="407" t="str">
        <f t="shared" si="416"/>
        <v>OK!</v>
      </c>
      <c r="P111" s="407" t="str">
        <f t="shared" si="417"/>
        <v>OK!</v>
      </c>
      <c r="Q111" s="407" t="str">
        <f t="shared" si="418"/>
        <v>OK!</v>
      </c>
      <c r="R111" s="407" t="str">
        <f t="shared" si="419"/>
        <v>OK!</v>
      </c>
      <c r="S111" s="407" t="str">
        <f t="shared" si="420"/>
        <v>OK!</v>
      </c>
      <c r="T111" s="407" t="str">
        <f t="shared" si="421"/>
        <v>OK!</v>
      </c>
    </row>
    <row r="112" spans="1:20" hidden="1" x14ac:dyDescent="0.15">
      <c r="A112" s="565" t="str">
        <f>A$10</f>
        <v>Shpenzimet kapitale</v>
      </c>
      <c r="B112" s="566"/>
      <c r="C112" s="563">
        <f>C113-C110-C111</f>
        <v>0</v>
      </c>
      <c r="D112" s="561">
        <f>D113-D110-D111</f>
        <v>0</v>
      </c>
      <c r="E112" s="561">
        <f>E113-E110-E111</f>
        <v>0</v>
      </c>
      <c r="F112" s="407" t="str">
        <f t="shared" si="407"/>
        <v>OK!</v>
      </c>
      <c r="G112" s="407" t="str">
        <f t="shared" si="408"/>
        <v>OK!</v>
      </c>
      <c r="H112" s="407" t="str">
        <f t="shared" si="409"/>
        <v>OK!</v>
      </c>
      <c r="I112" s="407" t="str">
        <f t="shared" si="410"/>
        <v>OK!</v>
      </c>
      <c r="J112" s="407" t="str">
        <f t="shared" si="411"/>
        <v>OK!</v>
      </c>
      <c r="K112" s="407" t="str">
        <f t="shared" si="412"/>
        <v>OK!</v>
      </c>
      <c r="L112" s="407" t="str">
        <f t="shared" si="413"/>
        <v>OK!</v>
      </c>
      <c r="M112" s="407" t="str">
        <f t="shared" si="414"/>
        <v>OK!</v>
      </c>
      <c r="N112" s="407" t="str">
        <f t="shared" si="415"/>
        <v>OK!</v>
      </c>
      <c r="O112" s="407" t="str">
        <f t="shared" si="416"/>
        <v>OK!</v>
      </c>
      <c r="P112" s="407" t="str">
        <f t="shared" si="417"/>
        <v>OK!</v>
      </c>
      <c r="Q112" s="407" t="str">
        <f t="shared" si="418"/>
        <v>OK!</v>
      </c>
      <c r="R112" s="407" t="str">
        <f t="shared" si="419"/>
        <v>OK!</v>
      </c>
      <c r="S112" s="407" t="str">
        <f t="shared" si="420"/>
        <v>OK!</v>
      </c>
      <c r="T112" s="407" t="str">
        <f t="shared" si="421"/>
        <v>OK!</v>
      </c>
    </row>
    <row r="113" spans="1:20" hidden="1" x14ac:dyDescent="0.15">
      <c r="A113" s="555" t="str">
        <f>A$11</f>
        <v>Tavanet e përgjithshme</v>
      </c>
      <c r="B113" s="556"/>
      <c r="C113" s="564"/>
      <c r="D113" s="562"/>
      <c r="E113" s="562"/>
      <c r="F113" s="407" t="str">
        <f>IF(C113&lt;0,"STOPP!","OK!")</f>
        <v>OK!</v>
      </c>
      <c r="G113" s="407" t="str">
        <f t="shared" si="408"/>
        <v>OK!</v>
      </c>
      <c r="H113" s="407" t="str">
        <f t="shared" si="409"/>
        <v>OK!</v>
      </c>
      <c r="I113" s="407" t="str">
        <f t="shared" si="410"/>
        <v>OK!</v>
      </c>
      <c r="J113" s="407" t="str">
        <f t="shared" si="411"/>
        <v>OK!</v>
      </c>
      <c r="K113" s="407" t="str">
        <f t="shared" si="412"/>
        <v>OK!</v>
      </c>
      <c r="L113" s="407" t="str">
        <f t="shared" si="413"/>
        <v>OK!</v>
      </c>
      <c r="M113" s="407" t="str">
        <f t="shared" si="414"/>
        <v>OK!</v>
      </c>
      <c r="N113" s="407" t="str">
        <f t="shared" si="415"/>
        <v>OK!</v>
      </c>
      <c r="O113" s="407" t="str">
        <f t="shared" si="416"/>
        <v>OK!</v>
      </c>
      <c r="P113" s="407" t="str">
        <f t="shared" si="417"/>
        <v>OK!</v>
      </c>
      <c r="Q113" s="407" t="str">
        <f t="shared" si="418"/>
        <v>OK!</v>
      </c>
      <c r="R113" s="407" t="str">
        <f t="shared" si="419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7" t="str">
        <f>A$12</f>
        <v>Angazhimet kujtesë</v>
      </c>
      <c r="B114" s="563"/>
      <c r="C114" s="563">
        <f>'(C5) Angazhimet'!D42</f>
        <v>0</v>
      </c>
      <c r="D114" s="563">
        <f>'(C5) Angazhimet'!E42</f>
        <v>0</v>
      </c>
      <c r="E114" s="563">
        <f>'(C5) Angazhimet'!F42</f>
        <v>0</v>
      </c>
      <c r="F114" s="407" t="str">
        <f>IF(C114&gt;C113,"STOPP!","OK!")</f>
        <v>OK!</v>
      </c>
      <c r="G114" s="407" t="str">
        <f t="shared" si="408"/>
        <v>OK!</v>
      </c>
      <c r="H114" s="407" t="str">
        <f t="shared" si="409"/>
        <v>OK!</v>
      </c>
      <c r="I114" s="407" t="str">
        <f t="shared" si="410"/>
        <v>OK!</v>
      </c>
      <c r="J114" s="407" t="str">
        <f t="shared" si="411"/>
        <v>OK!</v>
      </c>
      <c r="K114" s="407" t="str">
        <f t="shared" si="412"/>
        <v>OK!</v>
      </c>
      <c r="L114" s="407" t="str">
        <f t="shared" si="413"/>
        <v>OK!</v>
      </c>
      <c r="M114" s="407" t="str">
        <f t="shared" si="414"/>
        <v>OK!</v>
      </c>
      <c r="N114" s="407" t="str">
        <f t="shared" si="415"/>
        <v>OK!</v>
      </c>
      <c r="O114" s="407" t="str">
        <f t="shared" si="416"/>
        <v>OK!</v>
      </c>
      <c r="P114" s="407" t="str">
        <f t="shared" si="417"/>
        <v>OK!</v>
      </c>
      <c r="Q114" s="407" t="str">
        <f t="shared" si="418"/>
        <v>OK!</v>
      </c>
      <c r="R114" s="407" t="str">
        <f t="shared" si="419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7" t="str">
        <f>'(B3) Struktura Funksionale'!B39</f>
        <v>04160</v>
      </c>
      <c r="B115" s="891" t="str">
        <f>'(B3) Struktura Funksionale'!C39</f>
        <v>Shërbimet e tregjeve, akreditimi dhe inspektimi</v>
      </c>
      <c r="C115" s="892"/>
      <c r="D115" s="892"/>
      <c r="E115" s="893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22">IF(C116&lt;0,"STOPP!","OK!")</f>
        <v>OK!</v>
      </c>
      <c r="G116" s="407" t="str">
        <f t="shared" ref="G116:G120" si="423">IF(D116&lt;0,"STOPP!","OK!")</f>
        <v>OK!</v>
      </c>
      <c r="H116" s="407" t="str">
        <f t="shared" ref="H116:H120" si="424">IF(E116&lt;0,"STOPP!","OK!")</f>
        <v>OK!</v>
      </c>
      <c r="I116" s="407" t="str">
        <f t="shared" ref="I116:I120" si="425">IF(F116&lt;0,"STOPP!","OK!")</f>
        <v>OK!</v>
      </c>
      <c r="J116" s="407" t="str">
        <f t="shared" ref="J116:J120" si="426">IF(G116&lt;0,"STOPP!","OK!")</f>
        <v>OK!</v>
      </c>
      <c r="K116" s="407" t="str">
        <f t="shared" ref="K116:K120" si="427">IF(H116&lt;0,"STOPP!","OK!")</f>
        <v>OK!</v>
      </c>
      <c r="L116" s="407" t="str">
        <f t="shared" ref="L116:L120" si="428">IF(I116&lt;0,"STOPP!","OK!")</f>
        <v>OK!</v>
      </c>
      <c r="M116" s="407" t="str">
        <f t="shared" ref="M116:M120" si="429">IF(J116&lt;0,"STOPP!","OK!")</f>
        <v>OK!</v>
      </c>
      <c r="N116" s="407" t="str">
        <f t="shared" ref="N116:N120" si="430">IF(K116&lt;0,"STOPP!","OK!")</f>
        <v>OK!</v>
      </c>
      <c r="O116" s="407" t="str">
        <f t="shared" ref="O116:O120" si="431">IF(L116&lt;0,"STOPP!","OK!")</f>
        <v>OK!</v>
      </c>
      <c r="P116" s="407" t="str">
        <f t="shared" ref="P116:P120" si="432">IF(M116&lt;0,"STOPP!","OK!")</f>
        <v>OK!</v>
      </c>
      <c r="Q116" s="407" t="str">
        <f t="shared" ref="Q116:Q120" si="433">IF(N116&lt;0,"STOPP!","OK!")</f>
        <v>OK!</v>
      </c>
      <c r="R116" s="407" t="str">
        <f t="shared" ref="R116:R120" si="434">IF(O116&lt;0,"STOPP!","OK!")</f>
        <v>OK!</v>
      </c>
      <c r="S116" s="407" t="str">
        <f t="shared" ref="S116:S118" si="435">IF(D116&lt;0,"STOPP!","OK!")</f>
        <v>OK!</v>
      </c>
      <c r="T116" s="407" t="str">
        <f t="shared" ref="T116:T118" si="436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22"/>
        <v>OK!</v>
      </c>
      <c r="G117" s="407" t="str">
        <f t="shared" si="423"/>
        <v>OK!</v>
      </c>
      <c r="H117" s="407" t="str">
        <f t="shared" si="424"/>
        <v>OK!</v>
      </c>
      <c r="I117" s="407" t="str">
        <f t="shared" si="425"/>
        <v>OK!</v>
      </c>
      <c r="J117" s="407" t="str">
        <f t="shared" si="426"/>
        <v>OK!</v>
      </c>
      <c r="K117" s="407" t="str">
        <f t="shared" si="427"/>
        <v>OK!</v>
      </c>
      <c r="L117" s="407" t="str">
        <f t="shared" si="428"/>
        <v>OK!</v>
      </c>
      <c r="M117" s="407" t="str">
        <f t="shared" si="429"/>
        <v>OK!</v>
      </c>
      <c r="N117" s="407" t="str">
        <f t="shared" si="430"/>
        <v>OK!</v>
      </c>
      <c r="O117" s="407" t="str">
        <f t="shared" si="431"/>
        <v>OK!</v>
      </c>
      <c r="P117" s="407" t="str">
        <f t="shared" si="432"/>
        <v>OK!</v>
      </c>
      <c r="Q117" s="407" t="str">
        <f t="shared" si="433"/>
        <v>OK!</v>
      </c>
      <c r="R117" s="407" t="str">
        <f t="shared" si="434"/>
        <v>OK!</v>
      </c>
      <c r="S117" s="407" t="str">
        <f t="shared" si="435"/>
        <v>OK!</v>
      </c>
      <c r="T117" s="407" t="str">
        <f t="shared" si="436"/>
        <v>OK!</v>
      </c>
    </row>
    <row r="118" spans="1:20" x14ac:dyDescent="0.15">
      <c r="A118" s="565" t="str">
        <f>A$10</f>
        <v>Shpenzimet kapitale</v>
      </c>
      <c r="B118" s="566"/>
      <c r="C118" s="563">
        <f>C119-C116-C117</f>
        <v>0</v>
      </c>
      <c r="D118" s="561">
        <f>D119-D116-D117</f>
        <v>0</v>
      </c>
      <c r="E118" s="561">
        <f>E119-E116-E117</f>
        <v>0</v>
      </c>
      <c r="F118" s="407" t="str">
        <f t="shared" si="422"/>
        <v>OK!</v>
      </c>
      <c r="G118" s="407" t="str">
        <f t="shared" si="423"/>
        <v>OK!</v>
      </c>
      <c r="H118" s="407" t="str">
        <f t="shared" si="424"/>
        <v>OK!</v>
      </c>
      <c r="I118" s="407" t="str">
        <f t="shared" si="425"/>
        <v>OK!</v>
      </c>
      <c r="J118" s="407" t="str">
        <f t="shared" si="426"/>
        <v>OK!</v>
      </c>
      <c r="K118" s="407" t="str">
        <f t="shared" si="427"/>
        <v>OK!</v>
      </c>
      <c r="L118" s="407" t="str">
        <f t="shared" si="428"/>
        <v>OK!</v>
      </c>
      <c r="M118" s="407" t="str">
        <f t="shared" si="429"/>
        <v>OK!</v>
      </c>
      <c r="N118" s="407" t="str">
        <f t="shared" si="430"/>
        <v>OK!</v>
      </c>
      <c r="O118" s="407" t="str">
        <f t="shared" si="431"/>
        <v>OK!</v>
      </c>
      <c r="P118" s="407" t="str">
        <f t="shared" si="432"/>
        <v>OK!</v>
      </c>
      <c r="Q118" s="407" t="str">
        <f t="shared" si="433"/>
        <v>OK!</v>
      </c>
      <c r="R118" s="407" t="str">
        <f t="shared" si="434"/>
        <v>OK!</v>
      </c>
      <c r="S118" s="407" t="str">
        <f t="shared" si="435"/>
        <v>OK!</v>
      </c>
      <c r="T118" s="407" t="str">
        <f t="shared" si="436"/>
        <v>OK!</v>
      </c>
    </row>
    <row r="119" spans="1:20" x14ac:dyDescent="0.15">
      <c r="A119" s="555" t="str">
        <f>A$11</f>
        <v>Tavanet e përgjithshme</v>
      </c>
      <c r="B119" s="556"/>
      <c r="C119" s="564"/>
      <c r="D119" s="562"/>
      <c r="E119" s="562"/>
      <c r="F119" s="407" t="str">
        <f>IF(C119&lt;0,"STOPP!","OK!")</f>
        <v>OK!</v>
      </c>
      <c r="G119" s="407" t="str">
        <f t="shared" si="423"/>
        <v>OK!</v>
      </c>
      <c r="H119" s="407" t="str">
        <f t="shared" si="424"/>
        <v>OK!</v>
      </c>
      <c r="I119" s="407" t="str">
        <f t="shared" si="425"/>
        <v>OK!</v>
      </c>
      <c r="J119" s="407" t="str">
        <f t="shared" si="426"/>
        <v>OK!</v>
      </c>
      <c r="K119" s="407" t="str">
        <f t="shared" si="427"/>
        <v>OK!</v>
      </c>
      <c r="L119" s="407" t="str">
        <f t="shared" si="428"/>
        <v>OK!</v>
      </c>
      <c r="M119" s="407" t="str">
        <f t="shared" si="429"/>
        <v>OK!</v>
      </c>
      <c r="N119" s="407" t="str">
        <f t="shared" si="430"/>
        <v>OK!</v>
      </c>
      <c r="O119" s="407" t="str">
        <f t="shared" si="431"/>
        <v>OK!</v>
      </c>
      <c r="P119" s="407" t="str">
        <f t="shared" si="432"/>
        <v>OK!</v>
      </c>
      <c r="Q119" s="407" t="str">
        <f t="shared" si="433"/>
        <v>OK!</v>
      </c>
      <c r="R119" s="407" t="str">
        <f t="shared" si="434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7" t="str">
        <f>A$12</f>
        <v>Angazhimet kujtesë</v>
      </c>
      <c r="B120" s="563"/>
      <c r="C120" s="563">
        <f>'(C5) Angazhimet'!D43</f>
        <v>0</v>
      </c>
      <c r="D120" s="563">
        <f>'(C5) Angazhimet'!E43</f>
        <v>0</v>
      </c>
      <c r="E120" s="563">
        <f>'(C5) Angazhimet'!F43</f>
        <v>0</v>
      </c>
      <c r="F120" s="407" t="str">
        <f>IF(C120&gt;C119,"STOPP!","OK!")</f>
        <v>OK!</v>
      </c>
      <c r="G120" s="407" t="str">
        <f t="shared" si="423"/>
        <v>OK!</v>
      </c>
      <c r="H120" s="407" t="str">
        <f t="shared" si="424"/>
        <v>OK!</v>
      </c>
      <c r="I120" s="407" t="str">
        <f t="shared" si="425"/>
        <v>OK!</v>
      </c>
      <c r="J120" s="407" t="str">
        <f t="shared" si="426"/>
        <v>OK!</v>
      </c>
      <c r="K120" s="407" t="str">
        <f t="shared" si="427"/>
        <v>OK!</v>
      </c>
      <c r="L120" s="407" t="str">
        <f t="shared" si="428"/>
        <v>OK!</v>
      </c>
      <c r="M120" s="407" t="str">
        <f t="shared" si="429"/>
        <v>OK!</v>
      </c>
      <c r="N120" s="407" t="str">
        <f t="shared" si="430"/>
        <v>OK!</v>
      </c>
      <c r="O120" s="407" t="str">
        <f t="shared" si="431"/>
        <v>OK!</v>
      </c>
      <c r="P120" s="407" t="str">
        <f t="shared" si="432"/>
        <v>OK!</v>
      </c>
      <c r="Q120" s="407" t="str">
        <f t="shared" si="433"/>
        <v>OK!</v>
      </c>
      <c r="R120" s="407" t="str">
        <f t="shared" si="434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6" t="str">
        <f>'(B2) Struktura Organizative'!A22</f>
        <v>Nënfunksioni 7</v>
      </c>
      <c r="B121" s="894" t="str">
        <f>'(B2) Struktura Organizative'!B22</f>
        <v>042 Bujqësia, pyjet, peshkimi dhe gjuetia</v>
      </c>
      <c r="C121" s="895"/>
      <c r="D121" s="895"/>
      <c r="E121" s="896"/>
      <c r="G121" s="312">
        <f>C125</f>
        <v>17402</v>
      </c>
      <c r="H121" s="312">
        <f t="shared" ref="H121" si="437">D125</f>
        <v>20402</v>
      </c>
      <c r="I121" s="312">
        <f t="shared" ref="I121" si="438">E125</f>
        <v>17402</v>
      </c>
      <c r="J121" s="312">
        <f>C122</f>
        <v>3100</v>
      </c>
      <c r="K121" s="312">
        <f t="shared" ref="K121" si="439">D122</f>
        <v>3600</v>
      </c>
      <c r="L121" s="312">
        <f t="shared" ref="L121" si="440">E122</f>
        <v>3100</v>
      </c>
      <c r="M121" s="312">
        <f>C123</f>
        <v>170</v>
      </c>
      <c r="N121" s="312">
        <f t="shared" ref="N121" si="441">D123</f>
        <v>170</v>
      </c>
      <c r="O121" s="312">
        <f t="shared" ref="O121" si="442">E123</f>
        <v>170</v>
      </c>
      <c r="P121" s="312">
        <f>C124</f>
        <v>14132</v>
      </c>
      <c r="Q121" s="312">
        <f t="shared" ref="Q121" si="443">D124</f>
        <v>16632</v>
      </c>
      <c r="R121" s="312">
        <f t="shared" ref="R121" si="444">E124</f>
        <v>14132</v>
      </c>
    </row>
    <row r="122" spans="1:20" x14ac:dyDescent="0.15">
      <c r="A122" s="286" t="str">
        <f>A$8</f>
        <v>Pagat dhe sigurimet shoqërore</v>
      </c>
      <c r="B122" s="286"/>
      <c r="C122" s="563">
        <f t="shared" ref="C122:E123" si="445">C128+C134+C140</f>
        <v>3100</v>
      </c>
      <c r="D122" s="563">
        <f t="shared" si="445"/>
        <v>3600</v>
      </c>
      <c r="E122" s="563">
        <f t="shared" si="445"/>
        <v>3100</v>
      </c>
      <c r="F122" s="407" t="str">
        <f t="shared" ref="F122:F124" si="446">IF(C122&lt;0,"STOPP!","OK!")</f>
        <v>OK!</v>
      </c>
      <c r="G122" s="407" t="str">
        <f t="shared" ref="G122:G124" si="447">IF(D122&lt;0,"STOPP!","OK!")</f>
        <v>OK!</v>
      </c>
      <c r="H122" s="407" t="str">
        <f t="shared" ref="H122:H124" si="448">IF(E122&lt;0,"STOPP!","OK!")</f>
        <v>OK!</v>
      </c>
      <c r="I122" s="407" t="str">
        <f t="shared" ref="I122:I124" si="449">IF(F122&lt;0,"STOPP!","OK!")</f>
        <v>OK!</v>
      </c>
      <c r="J122" s="407" t="str">
        <f t="shared" ref="J122:J124" si="450">IF(G122&lt;0,"STOPP!","OK!")</f>
        <v>OK!</v>
      </c>
      <c r="K122" s="407" t="str">
        <f t="shared" ref="K122:K124" si="451">IF(H122&lt;0,"STOPP!","OK!")</f>
        <v>OK!</v>
      </c>
      <c r="L122" s="407" t="str">
        <f t="shared" ref="L122:L124" si="452">IF(I122&lt;0,"STOPP!","OK!")</f>
        <v>OK!</v>
      </c>
      <c r="M122" s="407" t="str">
        <f t="shared" ref="M122:M124" si="453">IF(J122&lt;0,"STOPP!","OK!")</f>
        <v>OK!</v>
      </c>
      <c r="N122" s="407" t="str">
        <f t="shared" ref="N122:N124" si="454">IF(K122&lt;0,"STOPP!","OK!")</f>
        <v>OK!</v>
      </c>
      <c r="O122" s="407" t="str">
        <f t="shared" ref="O122:O124" si="455">IF(L122&lt;0,"STOPP!","OK!")</f>
        <v>OK!</v>
      </c>
      <c r="P122" s="407" t="str">
        <f t="shared" ref="P122:P124" si="456">IF(M122&lt;0,"STOPP!","OK!")</f>
        <v>OK!</v>
      </c>
      <c r="Q122" s="407" t="str">
        <f t="shared" ref="Q122:Q124" si="457">IF(N122&lt;0,"STOPP!","OK!")</f>
        <v>OK!</v>
      </c>
      <c r="R122" s="407" t="str">
        <f t="shared" ref="R122:R124" si="458">IF(O122&lt;0,"STOPP!","OK!")</f>
        <v>OK!</v>
      </c>
      <c r="S122" s="407" t="str">
        <f t="shared" ref="S122:S124" si="459">IF(D122&lt;0,"STOPP!","OK!")</f>
        <v>OK!</v>
      </c>
      <c r="T122" s="407" t="str">
        <f t="shared" ref="T122:T124" si="460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3">
        <f t="shared" si="445"/>
        <v>170</v>
      </c>
      <c r="D123" s="563">
        <f t="shared" si="445"/>
        <v>170</v>
      </c>
      <c r="E123" s="563">
        <f t="shared" si="445"/>
        <v>170</v>
      </c>
      <c r="F123" s="407" t="str">
        <f t="shared" si="446"/>
        <v>OK!</v>
      </c>
      <c r="G123" s="407" t="str">
        <f t="shared" si="447"/>
        <v>OK!</v>
      </c>
      <c r="H123" s="407" t="str">
        <f t="shared" si="448"/>
        <v>OK!</v>
      </c>
      <c r="I123" s="407" t="str">
        <f t="shared" si="449"/>
        <v>OK!</v>
      </c>
      <c r="J123" s="407" t="str">
        <f t="shared" si="450"/>
        <v>OK!</v>
      </c>
      <c r="K123" s="407" t="str">
        <f t="shared" si="451"/>
        <v>OK!</v>
      </c>
      <c r="L123" s="407" t="str">
        <f t="shared" si="452"/>
        <v>OK!</v>
      </c>
      <c r="M123" s="407" t="str">
        <f t="shared" si="453"/>
        <v>OK!</v>
      </c>
      <c r="N123" s="407" t="str">
        <f t="shared" si="454"/>
        <v>OK!</v>
      </c>
      <c r="O123" s="407" t="str">
        <f t="shared" si="455"/>
        <v>OK!</v>
      </c>
      <c r="P123" s="407" t="str">
        <f t="shared" si="456"/>
        <v>OK!</v>
      </c>
      <c r="Q123" s="407" t="str">
        <f t="shared" si="457"/>
        <v>OK!</v>
      </c>
      <c r="R123" s="407" t="str">
        <f t="shared" si="458"/>
        <v>OK!</v>
      </c>
      <c r="S123" s="407" t="str">
        <f t="shared" si="459"/>
        <v>OK!</v>
      </c>
      <c r="T123" s="407" t="str">
        <f t="shared" si="460"/>
        <v>OK!</v>
      </c>
    </row>
    <row r="124" spans="1:20" x14ac:dyDescent="0.15">
      <c r="A124" s="565" t="str">
        <f>A$10</f>
        <v>Shpenzimet kapitale</v>
      </c>
      <c r="B124" s="566"/>
      <c r="C124" s="563">
        <f>C125-C122-C123</f>
        <v>14132</v>
      </c>
      <c r="D124" s="561">
        <f>D125-D122-D123</f>
        <v>16632</v>
      </c>
      <c r="E124" s="561">
        <f>E125-E122-E123</f>
        <v>14132</v>
      </c>
      <c r="F124" s="407" t="str">
        <f t="shared" si="446"/>
        <v>OK!</v>
      </c>
      <c r="G124" s="407" t="str">
        <f t="shared" si="447"/>
        <v>OK!</v>
      </c>
      <c r="H124" s="407" t="str">
        <f t="shared" si="448"/>
        <v>OK!</v>
      </c>
      <c r="I124" s="407" t="str">
        <f t="shared" si="449"/>
        <v>OK!</v>
      </c>
      <c r="J124" s="407" t="str">
        <f t="shared" si="450"/>
        <v>OK!</v>
      </c>
      <c r="K124" s="407" t="str">
        <f t="shared" si="451"/>
        <v>OK!</v>
      </c>
      <c r="L124" s="407" t="str">
        <f t="shared" si="452"/>
        <v>OK!</v>
      </c>
      <c r="M124" s="407" t="str">
        <f t="shared" si="453"/>
        <v>OK!</v>
      </c>
      <c r="N124" s="407" t="str">
        <f t="shared" si="454"/>
        <v>OK!</v>
      </c>
      <c r="O124" s="407" t="str">
        <f t="shared" si="455"/>
        <v>OK!</v>
      </c>
      <c r="P124" s="407" t="str">
        <f t="shared" si="456"/>
        <v>OK!</v>
      </c>
      <c r="Q124" s="407" t="str">
        <f t="shared" si="457"/>
        <v>OK!</v>
      </c>
      <c r="R124" s="407" t="str">
        <f t="shared" si="458"/>
        <v>OK!</v>
      </c>
      <c r="S124" s="407" t="str">
        <f t="shared" si="459"/>
        <v>OK!</v>
      </c>
      <c r="T124" s="407" t="str">
        <f t="shared" si="460"/>
        <v>OK!</v>
      </c>
    </row>
    <row r="125" spans="1:20" x14ac:dyDescent="0.15">
      <c r="A125" s="555" t="str">
        <f>A$11</f>
        <v>Tavanet e përgjithshme</v>
      </c>
      <c r="B125" s="556"/>
      <c r="C125" s="563">
        <f>C131+C137+C143</f>
        <v>17402</v>
      </c>
      <c r="D125" s="563">
        <f>D131+D137+D143</f>
        <v>20402</v>
      </c>
      <c r="E125" s="563">
        <f>E131+E137+E143</f>
        <v>17402</v>
      </c>
      <c r="F125" s="407" t="str">
        <f>IF(C125&lt;0,"STOPP!","OK!")</f>
        <v>OK!</v>
      </c>
      <c r="G125" s="407" t="str">
        <f t="shared" ref="G125:G126" si="461">IF(D125&lt;0,"STOPP!","OK!")</f>
        <v>OK!</v>
      </c>
      <c r="H125" s="407" t="str">
        <f t="shared" ref="H125:H126" si="462">IF(E125&lt;0,"STOPP!","OK!")</f>
        <v>OK!</v>
      </c>
      <c r="I125" s="407" t="str">
        <f t="shared" ref="I125:I126" si="463">IF(F125&lt;0,"STOPP!","OK!")</f>
        <v>OK!</v>
      </c>
      <c r="J125" s="407" t="str">
        <f t="shared" ref="J125:J126" si="464">IF(G125&lt;0,"STOPP!","OK!")</f>
        <v>OK!</v>
      </c>
      <c r="K125" s="407" t="str">
        <f t="shared" ref="K125:K126" si="465">IF(H125&lt;0,"STOPP!","OK!")</f>
        <v>OK!</v>
      </c>
      <c r="L125" s="407" t="str">
        <f t="shared" ref="L125:L126" si="466">IF(I125&lt;0,"STOPP!","OK!")</f>
        <v>OK!</v>
      </c>
      <c r="M125" s="407" t="str">
        <f t="shared" ref="M125:M126" si="467">IF(J125&lt;0,"STOPP!","OK!")</f>
        <v>OK!</v>
      </c>
      <c r="N125" s="407" t="str">
        <f t="shared" ref="N125:N126" si="468">IF(K125&lt;0,"STOPP!","OK!")</f>
        <v>OK!</v>
      </c>
      <c r="O125" s="407" t="str">
        <f t="shared" ref="O125:O126" si="469">IF(L125&lt;0,"STOPP!","OK!")</f>
        <v>OK!</v>
      </c>
      <c r="P125" s="407" t="str">
        <f t="shared" ref="P125:P126" si="470">IF(M125&lt;0,"STOPP!","OK!")</f>
        <v>OK!</v>
      </c>
      <c r="Q125" s="407" t="str">
        <f t="shared" ref="Q125:Q126" si="471">IF(N125&lt;0,"STOPP!","OK!")</f>
        <v>OK!</v>
      </c>
      <c r="R125" s="407" t="str">
        <f t="shared" ref="R125:R126" si="472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7" t="str">
        <f>A$12</f>
        <v>Angazhimet kujtesë</v>
      </c>
      <c r="B126" s="563"/>
      <c r="C126" s="563">
        <f>'(C5) Angazhimet'!D53</f>
        <v>0</v>
      </c>
      <c r="D126" s="561">
        <f>'(C5) Angazhimet'!E53</f>
        <v>0</v>
      </c>
      <c r="E126" s="561">
        <f>'(C5) Angazhimet'!F53</f>
        <v>0</v>
      </c>
      <c r="F126" s="407" t="str">
        <f>IF(C126&gt;C125,"STOPP!","OK!")</f>
        <v>OK!</v>
      </c>
      <c r="G126" s="407" t="str">
        <f t="shared" si="461"/>
        <v>OK!</v>
      </c>
      <c r="H126" s="407" t="str">
        <f t="shared" si="462"/>
        <v>OK!</v>
      </c>
      <c r="I126" s="407" t="str">
        <f t="shared" si="463"/>
        <v>OK!</v>
      </c>
      <c r="J126" s="407" t="str">
        <f t="shared" si="464"/>
        <v>OK!</v>
      </c>
      <c r="K126" s="407" t="str">
        <f t="shared" si="465"/>
        <v>OK!</v>
      </c>
      <c r="L126" s="407" t="str">
        <f t="shared" si="466"/>
        <v>OK!</v>
      </c>
      <c r="M126" s="407" t="str">
        <f t="shared" si="467"/>
        <v>OK!</v>
      </c>
      <c r="N126" s="407" t="str">
        <f t="shared" si="468"/>
        <v>OK!</v>
      </c>
      <c r="O126" s="407" t="str">
        <f t="shared" si="469"/>
        <v>OK!</v>
      </c>
      <c r="P126" s="407" t="str">
        <f t="shared" si="470"/>
        <v>OK!</v>
      </c>
      <c r="Q126" s="407" t="str">
        <f t="shared" si="471"/>
        <v>OK!</v>
      </c>
      <c r="R126" s="407" t="str">
        <f t="shared" si="472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7" t="str">
        <f>'(B3) Struktura Funksionale'!B42</f>
        <v>04220</v>
      </c>
      <c r="B127" s="902" t="str">
        <f>'(B3) Struktura Funksionale'!C42</f>
        <v>Shërbimet bujqësore, inspektimi, ushqimi dhe mbrojtja e konsumatoreve</v>
      </c>
      <c r="C127" s="903"/>
      <c r="D127" s="903"/>
      <c r="E127" s="904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/>
      <c r="D128" s="287"/>
      <c r="E128" s="287"/>
      <c r="F128" s="407" t="str">
        <f t="shared" ref="F128:F130" si="473">IF(C128&lt;0,"STOPP!","OK!")</f>
        <v>OK!</v>
      </c>
      <c r="G128" s="407" t="str">
        <f t="shared" ref="G128:G132" si="474">IF(D128&lt;0,"STOPP!","OK!")</f>
        <v>OK!</v>
      </c>
      <c r="H128" s="407" t="str">
        <f t="shared" ref="H128:H132" si="475">IF(E128&lt;0,"STOPP!","OK!")</f>
        <v>OK!</v>
      </c>
      <c r="I128" s="407" t="str">
        <f t="shared" ref="I128:I132" si="476">IF(F128&lt;0,"STOPP!","OK!")</f>
        <v>OK!</v>
      </c>
      <c r="J128" s="407" t="str">
        <f t="shared" ref="J128:J132" si="477">IF(G128&lt;0,"STOPP!","OK!")</f>
        <v>OK!</v>
      </c>
      <c r="K128" s="407" t="str">
        <f t="shared" ref="K128:K132" si="478">IF(H128&lt;0,"STOPP!","OK!")</f>
        <v>OK!</v>
      </c>
      <c r="L128" s="407" t="str">
        <f t="shared" ref="L128:L132" si="479">IF(I128&lt;0,"STOPP!","OK!")</f>
        <v>OK!</v>
      </c>
      <c r="M128" s="407" t="str">
        <f t="shared" ref="M128:M132" si="480">IF(J128&lt;0,"STOPP!","OK!")</f>
        <v>OK!</v>
      </c>
      <c r="N128" s="407" t="str">
        <f t="shared" ref="N128:N132" si="481">IF(K128&lt;0,"STOPP!","OK!")</f>
        <v>OK!</v>
      </c>
      <c r="O128" s="407" t="str">
        <f t="shared" ref="O128:O132" si="482">IF(L128&lt;0,"STOPP!","OK!")</f>
        <v>OK!</v>
      </c>
      <c r="P128" s="407" t="str">
        <f t="shared" ref="P128:P132" si="483">IF(M128&lt;0,"STOPP!","OK!")</f>
        <v>OK!</v>
      </c>
      <c r="Q128" s="407" t="str">
        <f t="shared" ref="Q128:Q132" si="484">IF(N128&lt;0,"STOPP!","OK!")</f>
        <v>OK!</v>
      </c>
      <c r="R128" s="407" t="str">
        <f t="shared" ref="R128:R132" si="485">IF(O128&lt;0,"STOPP!","OK!")</f>
        <v>OK!</v>
      </c>
      <c r="S128" s="407" t="str">
        <f t="shared" ref="S128:S130" si="486">IF(D128&lt;0,"STOPP!","OK!")</f>
        <v>OK!</v>
      </c>
      <c r="T128" s="407" t="str">
        <f t="shared" ref="T128:T130" si="487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7" t="str">
        <f t="shared" si="473"/>
        <v>OK!</v>
      </c>
      <c r="G129" s="407" t="str">
        <f t="shared" si="474"/>
        <v>OK!</v>
      </c>
      <c r="H129" s="407" t="str">
        <f t="shared" si="475"/>
        <v>OK!</v>
      </c>
      <c r="I129" s="407" t="str">
        <f t="shared" si="476"/>
        <v>OK!</v>
      </c>
      <c r="J129" s="407" t="str">
        <f t="shared" si="477"/>
        <v>OK!</v>
      </c>
      <c r="K129" s="407" t="str">
        <f t="shared" si="478"/>
        <v>OK!</v>
      </c>
      <c r="L129" s="407" t="str">
        <f t="shared" si="479"/>
        <v>OK!</v>
      </c>
      <c r="M129" s="407" t="str">
        <f t="shared" si="480"/>
        <v>OK!</v>
      </c>
      <c r="N129" s="407" t="str">
        <f t="shared" si="481"/>
        <v>OK!</v>
      </c>
      <c r="O129" s="407" t="str">
        <f t="shared" si="482"/>
        <v>OK!</v>
      </c>
      <c r="P129" s="407" t="str">
        <f t="shared" si="483"/>
        <v>OK!</v>
      </c>
      <c r="Q129" s="407" t="str">
        <f t="shared" si="484"/>
        <v>OK!</v>
      </c>
      <c r="R129" s="407" t="str">
        <f t="shared" si="485"/>
        <v>OK!</v>
      </c>
      <c r="S129" s="407" t="str">
        <f t="shared" si="486"/>
        <v>OK!</v>
      </c>
      <c r="T129" s="407" t="str">
        <f t="shared" si="487"/>
        <v>OK!</v>
      </c>
    </row>
    <row r="130" spans="1:20" x14ac:dyDescent="0.15">
      <c r="A130" s="565" t="str">
        <f>A$10</f>
        <v>Shpenzimet kapitale</v>
      </c>
      <c r="B130" s="566"/>
      <c r="C130" s="563">
        <f>C131-C128-C129</f>
        <v>0</v>
      </c>
      <c r="D130" s="561">
        <f>D131-D128-D129</f>
        <v>0</v>
      </c>
      <c r="E130" s="561">
        <f>E131-E128-E129</f>
        <v>0</v>
      </c>
      <c r="F130" s="407" t="str">
        <f t="shared" si="473"/>
        <v>OK!</v>
      </c>
      <c r="G130" s="407" t="str">
        <f t="shared" si="474"/>
        <v>OK!</v>
      </c>
      <c r="H130" s="407" t="str">
        <f t="shared" si="475"/>
        <v>OK!</v>
      </c>
      <c r="I130" s="407" t="str">
        <f t="shared" si="476"/>
        <v>OK!</v>
      </c>
      <c r="J130" s="407" t="str">
        <f t="shared" si="477"/>
        <v>OK!</v>
      </c>
      <c r="K130" s="407" t="str">
        <f t="shared" si="478"/>
        <v>OK!</v>
      </c>
      <c r="L130" s="407" t="str">
        <f t="shared" si="479"/>
        <v>OK!</v>
      </c>
      <c r="M130" s="407" t="str">
        <f t="shared" si="480"/>
        <v>OK!</v>
      </c>
      <c r="N130" s="407" t="str">
        <f t="shared" si="481"/>
        <v>OK!</v>
      </c>
      <c r="O130" s="407" t="str">
        <f t="shared" si="482"/>
        <v>OK!</v>
      </c>
      <c r="P130" s="407" t="str">
        <f t="shared" si="483"/>
        <v>OK!</v>
      </c>
      <c r="Q130" s="407" t="str">
        <f t="shared" si="484"/>
        <v>OK!</v>
      </c>
      <c r="R130" s="407" t="str">
        <f t="shared" si="485"/>
        <v>OK!</v>
      </c>
      <c r="S130" s="407" t="str">
        <f t="shared" si="486"/>
        <v>OK!</v>
      </c>
      <c r="T130" s="407" t="str">
        <f t="shared" si="487"/>
        <v>OK!</v>
      </c>
    </row>
    <row r="131" spans="1:20" x14ac:dyDescent="0.15">
      <c r="A131" s="555" t="str">
        <f>A$11</f>
        <v>Tavanet e përgjithshme</v>
      </c>
      <c r="B131" s="556"/>
      <c r="C131" s="564"/>
      <c r="D131" s="562"/>
      <c r="E131" s="562"/>
      <c r="F131" s="407" t="str">
        <f>IF(C131&lt;0,"STOPP!","OK!")</f>
        <v>OK!</v>
      </c>
      <c r="G131" s="407" t="str">
        <f t="shared" si="474"/>
        <v>OK!</v>
      </c>
      <c r="H131" s="407" t="str">
        <f t="shared" si="475"/>
        <v>OK!</v>
      </c>
      <c r="I131" s="407" t="str">
        <f t="shared" si="476"/>
        <v>OK!</v>
      </c>
      <c r="J131" s="407" t="str">
        <f t="shared" si="477"/>
        <v>OK!</v>
      </c>
      <c r="K131" s="407" t="str">
        <f t="shared" si="478"/>
        <v>OK!</v>
      </c>
      <c r="L131" s="407" t="str">
        <f t="shared" si="479"/>
        <v>OK!</v>
      </c>
      <c r="M131" s="407" t="str">
        <f t="shared" si="480"/>
        <v>OK!</v>
      </c>
      <c r="N131" s="407" t="str">
        <f t="shared" si="481"/>
        <v>OK!</v>
      </c>
      <c r="O131" s="407" t="str">
        <f t="shared" si="482"/>
        <v>OK!</v>
      </c>
      <c r="P131" s="407" t="str">
        <f t="shared" si="483"/>
        <v>OK!</v>
      </c>
      <c r="Q131" s="407" t="str">
        <f t="shared" si="484"/>
        <v>OK!</v>
      </c>
      <c r="R131" s="407" t="str">
        <f t="shared" si="485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7" t="str">
        <f>A$12</f>
        <v>Angazhimet kujtesë</v>
      </c>
      <c r="B132" s="563"/>
      <c r="C132" s="563">
        <f>'(C5) Angazhimet'!D47</f>
        <v>0</v>
      </c>
      <c r="D132" s="563">
        <f>'(C5) Angazhimet'!E47</f>
        <v>0</v>
      </c>
      <c r="E132" s="563">
        <f>'(C5) Angazhimet'!F47</f>
        <v>0</v>
      </c>
      <c r="F132" s="407" t="str">
        <f>IF(C132&gt;C131,"STOPP!","OK!")</f>
        <v>OK!</v>
      </c>
      <c r="G132" s="407" t="str">
        <f t="shared" si="474"/>
        <v>OK!</v>
      </c>
      <c r="H132" s="407" t="str">
        <f t="shared" si="475"/>
        <v>OK!</v>
      </c>
      <c r="I132" s="407" t="str">
        <f t="shared" si="476"/>
        <v>OK!</v>
      </c>
      <c r="J132" s="407" t="str">
        <f t="shared" si="477"/>
        <v>OK!</v>
      </c>
      <c r="K132" s="407" t="str">
        <f t="shared" si="478"/>
        <v>OK!</v>
      </c>
      <c r="L132" s="407" t="str">
        <f t="shared" si="479"/>
        <v>OK!</v>
      </c>
      <c r="M132" s="407" t="str">
        <f t="shared" si="480"/>
        <v>OK!</v>
      </c>
      <c r="N132" s="407" t="str">
        <f t="shared" si="481"/>
        <v>OK!</v>
      </c>
      <c r="O132" s="407" t="str">
        <f t="shared" si="482"/>
        <v>OK!</v>
      </c>
      <c r="P132" s="407" t="str">
        <f t="shared" si="483"/>
        <v>OK!</v>
      </c>
      <c r="Q132" s="407" t="str">
        <f t="shared" si="484"/>
        <v>OK!</v>
      </c>
      <c r="R132" s="407" t="str">
        <f t="shared" si="485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7" t="str">
        <f>'(B3) Struktura Funksionale'!B45</f>
        <v>04240</v>
      </c>
      <c r="B133" s="891" t="str">
        <f>'(B3) Struktura Funksionale'!C45</f>
        <v>Menaxhimi i Infrastruktuës së ujitjes dhe kullimit</v>
      </c>
      <c r="C133" s="892"/>
      <c r="D133" s="892"/>
      <c r="E133" s="893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>
        <f>2630+470</f>
        <v>3100</v>
      </c>
      <c r="D134" s="287">
        <f>2630+470+500</f>
        <v>3600</v>
      </c>
      <c r="E134" s="287">
        <f t="shared" ref="E134" si="488">2630+470</f>
        <v>3100</v>
      </c>
      <c r="F134" s="407" t="str">
        <f t="shared" ref="F134:F136" si="489">IF(C134&lt;0,"STOPP!","OK!")</f>
        <v>OK!</v>
      </c>
      <c r="G134" s="407" t="str">
        <f t="shared" ref="G134:G138" si="490">IF(D134&lt;0,"STOPP!","OK!")</f>
        <v>OK!</v>
      </c>
      <c r="H134" s="407" t="str">
        <f t="shared" ref="H134:H138" si="491">IF(E134&lt;0,"STOPP!","OK!")</f>
        <v>OK!</v>
      </c>
      <c r="I134" s="407" t="str">
        <f t="shared" ref="I134:I138" si="492">IF(F134&lt;0,"STOPP!","OK!")</f>
        <v>OK!</v>
      </c>
      <c r="J134" s="407" t="str">
        <f t="shared" ref="J134:J138" si="493">IF(G134&lt;0,"STOPP!","OK!")</f>
        <v>OK!</v>
      </c>
      <c r="K134" s="407" t="str">
        <f t="shared" ref="K134:K138" si="494">IF(H134&lt;0,"STOPP!","OK!")</f>
        <v>OK!</v>
      </c>
      <c r="L134" s="407" t="str">
        <f t="shared" ref="L134:L138" si="495">IF(I134&lt;0,"STOPP!","OK!")</f>
        <v>OK!</v>
      </c>
      <c r="M134" s="407" t="str">
        <f t="shared" ref="M134:M138" si="496">IF(J134&lt;0,"STOPP!","OK!")</f>
        <v>OK!</v>
      </c>
      <c r="N134" s="407" t="str">
        <f t="shared" ref="N134:N138" si="497">IF(K134&lt;0,"STOPP!","OK!")</f>
        <v>OK!</v>
      </c>
      <c r="O134" s="407" t="str">
        <f t="shared" ref="O134:O138" si="498">IF(L134&lt;0,"STOPP!","OK!")</f>
        <v>OK!</v>
      </c>
      <c r="P134" s="407" t="str">
        <f t="shared" ref="P134:P138" si="499">IF(M134&lt;0,"STOPP!","OK!")</f>
        <v>OK!</v>
      </c>
      <c r="Q134" s="407" t="str">
        <f t="shared" ref="Q134:Q138" si="500">IF(N134&lt;0,"STOPP!","OK!")</f>
        <v>OK!</v>
      </c>
      <c r="R134" s="407" t="str">
        <f t="shared" ref="R134:R138" si="501">IF(O134&lt;0,"STOPP!","OK!")</f>
        <v>OK!</v>
      </c>
      <c r="S134" s="407" t="str">
        <f t="shared" ref="S134:S136" si="502">IF(D134&lt;0,"STOPP!","OK!")</f>
        <v>OK!</v>
      </c>
      <c r="T134" s="407" t="str">
        <f t="shared" ref="T134:T136" si="503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170</v>
      </c>
      <c r="D135" s="288">
        <v>170</v>
      </c>
      <c r="E135" s="288">
        <v>170</v>
      </c>
      <c r="F135" s="407" t="str">
        <f t="shared" si="489"/>
        <v>OK!</v>
      </c>
      <c r="G135" s="407" t="str">
        <f t="shared" si="490"/>
        <v>OK!</v>
      </c>
      <c r="H135" s="407" t="str">
        <f t="shared" si="491"/>
        <v>OK!</v>
      </c>
      <c r="I135" s="407" t="str">
        <f t="shared" si="492"/>
        <v>OK!</v>
      </c>
      <c r="J135" s="407" t="str">
        <f t="shared" si="493"/>
        <v>OK!</v>
      </c>
      <c r="K135" s="407" t="str">
        <f t="shared" si="494"/>
        <v>OK!</v>
      </c>
      <c r="L135" s="407" t="str">
        <f t="shared" si="495"/>
        <v>OK!</v>
      </c>
      <c r="M135" s="407" t="str">
        <f t="shared" si="496"/>
        <v>OK!</v>
      </c>
      <c r="N135" s="407" t="str">
        <f t="shared" si="497"/>
        <v>OK!</v>
      </c>
      <c r="O135" s="407" t="str">
        <f t="shared" si="498"/>
        <v>OK!</v>
      </c>
      <c r="P135" s="407" t="str">
        <f t="shared" si="499"/>
        <v>OK!</v>
      </c>
      <c r="Q135" s="407" t="str">
        <f t="shared" si="500"/>
        <v>OK!</v>
      </c>
      <c r="R135" s="407" t="str">
        <f t="shared" si="501"/>
        <v>OK!</v>
      </c>
      <c r="S135" s="407" t="str">
        <f t="shared" si="502"/>
        <v>OK!</v>
      </c>
      <c r="T135" s="407" t="str">
        <f t="shared" si="503"/>
        <v>OK!</v>
      </c>
    </row>
    <row r="136" spans="1:20" x14ac:dyDescent="0.15">
      <c r="A136" s="565" t="str">
        <f>A$10</f>
        <v>Shpenzimet kapitale</v>
      </c>
      <c r="B136" s="566"/>
      <c r="C136" s="563">
        <f>C137-C134-C135</f>
        <v>14132</v>
      </c>
      <c r="D136" s="561">
        <f>D137-D134-D135</f>
        <v>16632</v>
      </c>
      <c r="E136" s="561">
        <f>E137-E134-E135</f>
        <v>14132</v>
      </c>
      <c r="F136" s="407" t="str">
        <f t="shared" si="489"/>
        <v>OK!</v>
      </c>
      <c r="G136" s="407" t="str">
        <f t="shared" si="490"/>
        <v>OK!</v>
      </c>
      <c r="H136" s="407" t="str">
        <f t="shared" si="491"/>
        <v>OK!</v>
      </c>
      <c r="I136" s="407" t="str">
        <f t="shared" si="492"/>
        <v>OK!</v>
      </c>
      <c r="J136" s="407" t="str">
        <f t="shared" si="493"/>
        <v>OK!</v>
      </c>
      <c r="K136" s="407" t="str">
        <f t="shared" si="494"/>
        <v>OK!</v>
      </c>
      <c r="L136" s="407" t="str">
        <f t="shared" si="495"/>
        <v>OK!</v>
      </c>
      <c r="M136" s="407" t="str">
        <f t="shared" si="496"/>
        <v>OK!</v>
      </c>
      <c r="N136" s="407" t="str">
        <f t="shared" si="497"/>
        <v>OK!</v>
      </c>
      <c r="O136" s="407" t="str">
        <f t="shared" si="498"/>
        <v>OK!</v>
      </c>
      <c r="P136" s="407" t="str">
        <f t="shared" si="499"/>
        <v>OK!</v>
      </c>
      <c r="Q136" s="407" t="str">
        <f t="shared" si="500"/>
        <v>OK!</v>
      </c>
      <c r="R136" s="407" t="str">
        <f t="shared" si="501"/>
        <v>OK!</v>
      </c>
      <c r="S136" s="407" t="str">
        <f t="shared" si="502"/>
        <v>OK!</v>
      </c>
      <c r="T136" s="407" t="str">
        <f t="shared" si="503"/>
        <v>OK!</v>
      </c>
    </row>
    <row r="137" spans="1:20" x14ac:dyDescent="0.15">
      <c r="A137" s="555" t="str">
        <f>A$11</f>
        <v>Tavanet e përgjithshme</v>
      </c>
      <c r="B137" s="556"/>
      <c r="C137" s="564">
        <f>3050+3100+170+11082</f>
        <v>17402</v>
      </c>
      <c r="D137" s="564">
        <f>3050+3100+170+11082+3000</f>
        <v>20402</v>
      </c>
      <c r="E137" s="564">
        <f t="shared" ref="E137" si="504">3050+3100+170+11082</f>
        <v>17402</v>
      </c>
      <c r="F137" s="407" t="str">
        <f>IF(C137&lt;0,"STOPP!","OK!")</f>
        <v>OK!</v>
      </c>
      <c r="G137" s="407" t="str">
        <f t="shared" si="490"/>
        <v>OK!</v>
      </c>
      <c r="H137" s="407" t="str">
        <f t="shared" si="491"/>
        <v>OK!</v>
      </c>
      <c r="I137" s="407" t="str">
        <f t="shared" si="492"/>
        <v>OK!</v>
      </c>
      <c r="J137" s="407" t="str">
        <f t="shared" si="493"/>
        <v>OK!</v>
      </c>
      <c r="K137" s="407" t="str">
        <f t="shared" si="494"/>
        <v>OK!</v>
      </c>
      <c r="L137" s="407" t="str">
        <f t="shared" si="495"/>
        <v>OK!</v>
      </c>
      <c r="M137" s="407" t="str">
        <f t="shared" si="496"/>
        <v>OK!</v>
      </c>
      <c r="N137" s="407" t="str">
        <f t="shared" si="497"/>
        <v>OK!</v>
      </c>
      <c r="O137" s="407" t="str">
        <f t="shared" si="498"/>
        <v>OK!</v>
      </c>
      <c r="P137" s="407" t="str">
        <f t="shared" si="499"/>
        <v>OK!</v>
      </c>
      <c r="Q137" s="407" t="str">
        <f t="shared" si="500"/>
        <v>OK!</v>
      </c>
      <c r="R137" s="407" t="str">
        <f t="shared" si="501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7" t="str">
        <f>A$12</f>
        <v>Angazhimet kujtesë</v>
      </c>
      <c r="B138" s="563"/>
      <c r="C138" s="563">
        <f>'(C5) Angazhimet'!D50</f>
        <v>0</v>
      </c>
      <c r="D138" s="563">
        <f>'(C5) Angazhimet'!E50</f>
        <v>0</v>
      </c>
      <c r="E138" s="563">
        <f>'(C5) Angazhimet'!F50</f>
        <v>0</v>
      </c>
      <c r="F138" s="407" t="str">
        <f>IF(C138&gt;C137,"STOPP!","OK!")</f>
        <v>OK!</v>
      </c>
      <c r="G138" s="407" t="str">
        <f t="shared" si="490"/>
        <v>OK!</v>
      </c>
      <c r="H138" s="407" t="str">
        <f t="shared" si="491"/>
        <v>OK!</v>
      </c>
      <c r="I138" s="407" t="str">
        <f t="shared" si="492"/>
        <v>OK!</v>
      </c>
      <c r="J138" s="407" t="str">
        <f t="shared" si="493"/>
        <v>OK!</v>
      </c>
      <c r="K138" s="407" t="str">
        <f t="shared" si="494"/>
        <v>OK!</v>
      </c>
      <c r="L138" s="407" t="str">
        <f t="shared" si="495"/>
        <v>OK!</v>
      </c>
      <c r="M138" s="407" t="str">
        <f t="shared" si="496"/>
        <v>OK!</v>
      </c>
      <c r="N138" s="407" t="str">
        <f t="shared" si="497"/>
        <v>OK!</v>
      </c>
      <c r="O138" s="407" t="str">
        <f t="shared" si="498"/>
        <v>OK!</v>
      </c>
      <c r="P138" s="407" t="str">
        <f t="shared" si="499"/>
        <v>OK!</v>
      </c>
      <c r="Q138" s="407" t="str">
        <f t="shared" si="500"/>
        <v>OK!</v>
      </c>
      <c r="R138" s="407" t="str">
        <f t="shared" si="501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7" t="str">
        <f>'(B3) Struktura Funksionale'!B46</f>
        <v>04260</v>
      </c>
      <c r="B139" s="891" t="str">
        <f>'(B3) Struktura Funksionale'!C46</f>
        <v>Administrimi i pyjeve dhe kullotave</v>
      </c>
      <c r="C139" s="892"/>
      <c r="D139" s="892"/>
      <c r="E139" s="893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/>
      <c r="D140" s="287"/>
      <c r="E140" s="287"/>
      <c r="F140" s="407" t="str">
        <f t="shared" ref="F140:F142" si="505">IF(C140&lt;0,"STOPP!","OK!")</f>
        <v>OK!</v>
      </c>
      <c r="G140" s="407" t="str">
        <f t="shared" ref="G140:G144" si="506">IF(D140&lt;0,"STOPP!","OK!")</f>
        <v>OK!</v>
      </c>
      <c r="H140" s="407" t="str">
        <f t="shared" ref="H140:H144" si="507">IF(E140&lt;0,"STOPP!","OK!")</f>
        <v>OK!</v>
      </c>
      <c r="I140" s="407" t="str">
        <f t="shared" ref="I140:I144" si="508">IF(F140&lt;0,"STOPP!","OK!")</f>
        <v>OK!</v>
      </c>
      <c r="J140" s="407" t="str">
        <f t="shared" ref="J140:J144" si="509">IF(G140&lt;0,"STOPP!","OK!")</f>
        <v>OK!</v>
      </c>
      <c r="K140" s="407" t="str">
        <f t="shared" ref="K140:K144" si="510">IF(H140&lt;0,"STOPP!","OK!")</f>
        <v>OK!</v>
      </c>
      <c r="L140" s="407" t="str">
        <f t="shared" ref="L140:L144" si="511">IF(I140&lt;0,"STOPP!","OK!")</f>
        <v>OK!</v>
      </c>
      <c r="M140" s="407" t="str">
        <f t="shared" ref="M140:M144" si="512">IF(J140&lt;0,"STOPP!","OK!")</f>
        <v>OK!</v>
      </c>
      <c r="N140" s="407" t="str">
        <f t="shared" ref="N140:N144" si="513">IF(K140&lt;0,"STOPP!","OK!")</f>
        <v>OK!</v>
      </c>
      <c r="O140" s="407" t="str">
        <f t="shared" ref="O140:O144" si="514">IF(L140&lt;0,"STOPP!","OK!")</f>
        <v>OK!</v>
      </c>
      <c r="P140" s="407" t="str">
        <f t="shared" ref="P140:P144" si="515">IF(M140&lt;0,"STOPP!","OK!")</f>
        <v>OK!</v>
      </c>
      <c r="Q140" s="407" t="str">
        <f t="shared" ref="Q140:Q144" si="516">IF(N140&lt;0,"STOPP!","OK!")</f>
        <v>OK!</v>
      </c>
      <c r="R140" s="407" t="str">
        <f t="shared" ref="R140:R144" si="517">IF(O140&lt;0,"STOPP!","OK!")</f>
        <v>OK!</v>
      </c>
      <c r="S140" s="407" t="str">
        <f t="shared" ref="S140:S142" si="518">IF(D140&lt;0,"STOPP!","OK!")</f>
        <v>OK!</v>
      </c>
      <c r="T140" s="407" t="str">
        <f t="shared" ref="T140:T142" si="519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/>
      <c r="D141" s="288"/>
      <c r="E141" s="288"/>
      <c r="F141" s="407" t="str">
        <f t="shared" si="505"/>
        <v>OK!</v>
      </c>
      <c r="G141" s="407" t="str">
        <f t="shared" si="506"/>
        <v>OK!</v>
      </c>
      <c r="H141" s="407" t="str">
        <f t="shared" si="507"/>
        <v>OK!</v>
      </c>
      <c r="I141" s="407" t="str">
        <f t="shared" si="508"/>
        <v>OK!</v>
      </c>
      <c r="J141" s="407" t="str">
        <f t="shared" si="509"/>
        <v>OK!</v>
      </c>
      <c r="K141" s="407" t="str">
        <f t="shared" si="510"/>
        <v>OK!</v>
      </c>
      <c r="L141" s="407" t="str">
        <f t="shared" si="511"/>
        <v>OK!</v>
      </c>
      <c r="M141" s="407" t="str">
        <f t="shared" si="512"/>
        <v>OK!</v>
      </c>
      <c r="N141" s="407" t="str">
        <f t="shared" si="513"/>
        <v>OK!</v>
      </c>
      <c r="O141" s="407" t="str">
        <f t="shared" si="514"/>
        <v>OK!</v>
      </c>
      <c r="P141" s="407" t="str">
        <f t="shared" si="515"/>
        <v>OK!</v>
      </c>
      <c r="Q141" s="407" t="str">
        <f t="shared" si="516"/>
        <v>OK!</v>
      </c>
      <c r="R141" s="407" t="str">
        <f t="shared" si="517"/>
        <v>OK!</v>
      </c>
      <c r="S141" s="407" t="str">
        <f t="shared" si="518"/>
        <v>OK!</v>
      </c>
      <c r="T141" s="407" t="str">
        <f t="shared" si="519"/>
        <v>OK!</v>
      </c>
    </row>
    <row r="142" spans="1:20" x14ac:dyDescent="0.15">
      <c r="A142" s="565" t="str">
        <f>A$10</f>
        <v>Shpenzimet kapitale</v>
      </c>
      <c r="B142" s="566"/>
      <c r="C142" s="563">
        <f>C143-C140-C141</f>
        <v>0</v>
      </c>
      <c r="D142" s="561">
        <f>D143-D140-D141</f>
        <v>0</v>
      </c>
      <c r="E142" s="561">
        <f>E143-E140-E141</f>
        <v>0</v>
      </c>
      <c r="F142" s="407" t="str">
        <f t="shared" si="505"/>
        <v>OK!</v>
      </c>
      <c r="G142" s="407" t="str">
        <f t="shared" si="506"/>
        <v>OK!</v>
      </c>
      <c r="H142" s="407" t="str">
        <f t="shared" si="507"/>
        <v>OK!</v>
      </c>
      <c r="I142" s="407" t="str">
        <f t="shared" si="508"/>
        <v>OK!</v>
      </c>
      <c r="J142" s="407" t="str">
        <f t="shared" si="509"/>
        <v>OK!</v>
      </c>
      <c r="K142" s="407" t="str">
        <f t="shared" si="510"/>
        <v>OK!</v>
      </c>
      <c r="L142" s="407" t="str">
        <f t="shared" si="511"/>
        <v>OK!</v>
      </c>
      <c r="M142" s="407" t="str">
        <f t="shared" si="512"/>
        <v>OK!</v>
      </c>
      <c r="N142" s="407" t="str">
        <f t="shared" si="513"/>
        <v>OK!</v>
      </c>
      <c r="O142" s="407" t="str">
        <f t="shared" si="514"/>
        <v>OK!</v>
      </c>
      <c r="P142" s="407" t="str">
        <f t="shared" si="515"/>
        <v>OK!</v>
      </c>
      <c r="Q142" s="407" t="str">
        <f t="shared" si="516"/>
        <v>OK!</v>
      </c>
      <c r="R142" s="407" t="str">
        <f t="shared" si="517"/>
        <v>OK!</v>
      </c>
      <c r="S142" s="407" t="str">
        <f t="shared" si="518"/>
        <v>OK!</v>
      </c>
      <c r="T142" s="407" t="str">
        <f t="shared" si="519"/>
        <v>OK!</v>
      </c>
    </row>
    <row r="143" spans="1:20" x14ac:dyDescent="0.15">
      <c r="A143" s="555" t="str">
        <f>A$11</f>
        <v>Tavanet e përgjithshme</v>
      </c>
      <c r="B143" s="556"/>
      <c r="C143" s="564"/>
      <c r="D143" s="562"/>
      <c r="E143" s="562"/>
      <c r="F143" s="407" t="str">
        <f>IF(C143&lt;0,"STOPP!","OK!")</f>
        <v>OK!</v>
      </c>
      <c r="G143" s="407" t="str">
        <f t="shared" si="506"/>
        <v>OK!</v>
      </c>
      <c r="H143" s="407" t="str">
        <f t="shared" si="507"/>
        <v>OK!</v>
      </c>
      <c r="I143" s="407" t="str">
        <f t="shared" si="508"/>
        <v>OK!</v>
      </c>
      <c r="J143" s="407" t="str">
        <f t="shared" si="509"/>
        <v>OK!</v>
      </c>
      <c r="K143" s="407" t="str">
        <f t="shared" si="510"/>
        <v>OK!</v>
      </c>
      <c r="L143" s="407" t="str">
        <f t="shared" si="511"/>
        <v>OK!</v>
      </c>
      <c r="M143" s="407" t="str">
        <f t="shared" si="512"/>
        <v>OK!</v>
      </c>
      <c r="N143" s="407" t="str">
        <f t="shared" si="513"/>
        <v>OK!</v>
      </c>
      <c r="O143" s="407" t="str">
        <f t="shared" si="514"/>
        <v>OK!</v>
      </c>
      <c r="P143" s="407" t="str">
        <f t="shared" si="515"/>
        <v>OK!</v>
      </c>
      <c r="Q143" s="407" t="str">
        <f t="shared" si="516"/>
        <v>OK!</v>
      </c>
      <c r="R143" s="407" t="str">
        <f t="shared" si="517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7" t="str">
        <f>A$12</f>
        <v>Angazhimet kujtesë</v>
      </c>
      <c r="B144" s="563"/>
      <c r="C144" s="563">
        <f>'(C5) Angazhimet'!D51</f>
        <v>0</v>
      </c>
      <c r="D144" s="563">
        <f>'(C5) Angazhimet'!E51</f>
        <v>0</v>
      </c>
      <c r="E144" s="563">
        <f>'(C5) Angazhimet'!F51</f>
        <v>0</v>
      </c>
      <c r="F144" s="407" t="str">
        <f>IF(C144&gt;C143,"STOPP!","OK!")</f>
        <v>OK!</v>
      </c>
      <c r="G144" s="407" t="str">
        <f t="shared" si="506"/>
        <v>OK!</v>
      </c>
      <c r="H144" s="407" t="str">
        <f t="shared" si="507"/>
        <v>OK!</v>
      </c>
      <c r="I144" s="407" t="str">
        <f t="shared" si="508"/>
        <v>OK!</v>
      </c>
      <c r="J144" s="407" t="str">
        <f t="shared" si="509"/>
        <v>OK!</v>
      </c>
      <c r="K144" s="407" t="str">
        <f t="shared" si="510"/>
        <v>OK!</v>
      </c>
      <c r="L144" s="407" t="str">
        <f t="shared" si="511"/>
        <v>OK!</v>
      </c>
      <c r="M144" s="407" t="str">
        <f t="shared" si="512"/>
        <v>OK!</v>
      </c>
      <c r="N144" s="407" t="str">
        <f t="shared" si="513"/>
        <v>OK!</v>
      </c>
      <c r="O144" s="407" t="str">
        <f t="shared" si="514"/>
        <v>OK!</v>
      </c>
      <c r="P144" s="407" t="str">
        <f t="shared" si="515"/>
        <v>OK!</v>
      </c>
      <c r="Q144" s="407" t="str">
        <f t="shared" si="516"/>
        <v>OK!</v>
      </c>
      <c r="R144" s="407" t="str">
        <f t="shared" si="517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6" t="str">
        <f>'(B2) Struktura Organizative'!A26</f>
        <v>Nënfunksioni 8</v>
      </c>
      <c r="B145" s="894" t="str">
        <f>'(B2) Struktura Organizative'!B26</f>
        <v>045 Trasporti</v>
      </c>
      <c r="C145" s="895"/>
      <c r="D145" s="895"/>
      <c r="E145" s="896"/>
      <c r="G145" s="312">
        <f>C149</f>
        <v>88487</v>
      </c>
      <c r="H145" s="312">
        <f t="shared" ref="H145" si="520">D149</f>
        <v>98487</v>
      </c>
      <c r="I145" s="312">
        <f t="shared" ref="I145" si="521">E149</f>
        <v>128486</v>
      </c>
      <c r="J145" s="312">
        <f>C146</f>
        <v>0</v>
      </c>
      <c r="K145" s="312">
        <f t="shared" ref="K145" si="522">D146</f>
        <v>0</v>
      </c>
      <c r="L145" s="312">
        <f t="shared" ref="L145" si="523">E146</f>
        <v>0</v>
      </c>
      <c r="M145" s="312">
        <f>C147</f>
        <v>0</v>
      </c>
      <c r="N145" s="312">
        <f t="shared" ref="N145" si="524">D147</f>
        <v>0</v>
      </c>
      <c r="O145" s="312">
        <f t="shared" ref="O145" si="525">E147</f>
        <v>0</v>
      </c>
      <c r="P145" s="312">
        <f>C148</f>
        <v>88487</v>
      </c>
      <c r="Q145" s="312">
        <f t="shared" ref="Q145" si="526">D148</f>
        <v>98487</v>
      </c>
      <c r="R145" s="312">
        <f t="shared" ref="R145" si="527">E148</f>
        <v>128486</v>
      </c>
    </row>
    <row r="146" spans="1:20" x14ac:dyDescent="0.15">
      <c r="A146" s="286" t="str">
        <f>A$8</f>
        <v>Pagat dhe sigurimet shoqërore</v>
      </c>
      <c r="B146" s="286"/>
      <c r="C146" s="563">
        <f>C152+C158+C164</f>
        <v>0</v>
      </c>
      <c r="D146" s="563">
        <f t="shared" ref="D146:E146" si="528">D152+D158+D164</f>
        <v>0</v>
      </c>
      <c r="E146" s="563">
        <f t="shared" si="528"/>
        <v>0</v>
      </c>
      <c r="F146" s="407" t="str">
        <f t="shared" ref="F146:F148" si="529">IF(C146&lt;0,"STOPP!","OK!")</f>
        <v>OK!</v>
      </c>
      <c r="G146" s="407" t="str">
        <f t="shared" ref="G146:G148" si="530">IF(D146&lt;0,"STOPP!","OK!")</f>
        <v>OK!</v>
      </c>
      <c r="H146" s="407" t="str">
        <f t="shared" ref="H146:H148" si="531">IF(E146&lt;0,"STOPP!","OK!")</f>
        <v>OK!</v>
      </c>
      <c r="I146" s="407" t="str">
        <f t="shared" ref="I146:I148" si="532">IF(F146&lt;0,"STOPP!","OK!")</f>
        <v>OK!</v>
      </c>
      <c r="J146" s="407" t="str">
        <f t="shared" ref="J146:J148" si="533">IF(G146&lt;0,"STOPP!","OK!")</f>
        <v>OK!</v>
      </c>
      <c r="K146" s="407" t="str">
        <f t="shared" ref="K146:K148" si="534">IF(H146&lt;0,"STOPP!","OK!")</f>
        <v>OK!</v>
      </c>
      <c r="L146" s="407" t="str">
        <f t="shared" ref="L146:L148" si="535">IF(I146&lt;0,"STOPP!","OK!")</f>
        <v>OK!</v>
      </c>
      <c r="M146" s="407" t="str">
        <f t="shared" ref="M146:M148" si="536">IF(J146&lt;0,"STOPP!","OK!")</f>
        <v>OK!</v>
      </c>
      <c r="N146" s="407" t="str">
        <f t="shared" ref="N146:N148" si="537">IF(K146&lt;0,"STOPP!","OK!")</f>
        <v>OK!</v>
      </c>
      <c r="O146" s="407" t="str">
        <f t="shared" ref="O146:O148" si="538">IF(L146&lt;0,"STOPP!","OK!")</f>
        <v>OK!</v>
      </c>
      <c r="P146" s="407" t="str">
        <f t="shared" ref="P146:P148" si="539">IF(M146&lt;0,"STOPP!","OK!")</f>
        <v>OK!</v>
      </c>
      <c r="Q146" s="407" t="str">
        <f t="shared" ref="Q146:Q148" si="540">IF(N146&lt;0,"STOPP!","OK!")</f>
        <v>OK!</v>
      </c>
      <c r="R146" s="407" t="str">
        <f t="shared" ref="R146:R148" si="541">IF(O146&lt;0,"STOPP!","OK!")</f>
        <v>OK!</v>
      </c>
      <c r="S146" s="407" t="str">
        <f t="shared" ref="S146:S148" si="542">IF(D146&lt;0,"STOPP!","OK!")</f>
        <v>OK!</v>
      </c>
      <c r="T146" s="407" t="str">
        <f t="shared" ref="T146:T148" si="543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3">
        <f>C153+C159+C165</f>
        <v>0</v>
      </c>
      <c r="D147" s="563">
        <f t="shared" ref="D147:E147" si="544">D153+D159+D165</f>
        <v>0</v>
      </c>
      <c r="E147" s="563">
        <f t="shared" si="544"/>
        <v>0</v>
      </c>
      <c r="F147" s="407" t="str">
        <f t="shared" si="529"/>
        <v>OK!</v>
      </c>
      <c r="G147" s="407" t="str">
        <f t="shared" si="530"/>
        <v>OK!</v>
      </c>
      <c r="H147" s="407" t="str">
        <f t="shared" si="531"/>
        <v>OK!</v>
      </c>
      <c r="I147" s="407" t="str">
        <f t="shared" si="532"/>
        <v>OK!</v>
      </c>
      <c r="J147" s="407" t="str">
        <f t="shared" si="533"/>
        <v>OK!</v>
      </c>
      <c r="K147" s="407" t="str">
        <f t="shared" si="534"/>
        <v>OK!</v>
      </c>
      <c r="L147" s="407" t="str">
        <f t="shared" si="535"/>
        <v>OK!</v>
      </c>
      <c r="M147" s="407" t="str">
        <f t="shared" si="536"/>
        <v>OK!</v>
      </c>
      <c r="N147" s="407" t="str">
        <f t="shared" si="537"/>
        <v>OK!</v>
      </c>
      <c r="O147" s="407" t="str">
        <f t="shared" si="538"/>
        <v>OK!</v>
      </c>
      <c r="P147" s="407" t="str">
        <f t="shared" si="539"/>
        <v>OK!</v>
      </c>
      <c r="Q147" s="407" t="str">
        <f t="shared" si="540"/>
        <v>OK!</v>
      </c>
      <c r="R147" s="407" t="str">
        <f t="shared" si="541"/>
        <v>OK!</v>
      </c>
      <c r="S147" s="407" t="str">
        <f t="shared" si="542"/>
        <v>OK!</v>
      </c>
      <c r="T147" s="407" t="str">
        <f t="shared" si="543"/>
        <v>OK!</v>
      </c>
    </row>
    <row r="148" spans="1:20" x14ac:dyDescent="0.15">
      <c r="A148" s="565" t="str">
        <f>A$10</f>
        <v>Shpenzimet kapitale</v>
      </c>
      <c r="B148" s="566"/>
      <c r="C148" s="563">
        <f>C149-C146-C147</f>
        <v>88487</v>
      </c>
      <c r="D148" s="561">
        <f>D149-D146-D147</f>
        <v>98487</v>
      </c>
      <c r="E148" s="561">
        <f>E149-E146-E147</f>
        <v>128486</v>
      </c>
      <c r="F148" s="407" t="str">
        <f t="shared" si="529"/>
        <v>OK!</v>
      </c>
      <c r="G148" s="407" t="str">
        <f t="shared" si="530"/>
        <v>OK!</v>
      </c>
      <c r="H148" s="407" t="str">
        <f t="shared" si="531"/>
        <v>OK!</v>
      </c>
      <c r="I148" s="407" t="str">
        <f t="shared" si="532"/>
        <v>OK!</v>
      </c>
      <c r="J148" s="407" t="str">
        <f t="shared" si="533"/>
        <v>OK!</v>
      </c>
      <c r="K148" s="407" t="str">
        <f t="shared" si="534"/>
        <v>OK!</v>
      </c>
      <c r="L148" s="407" t="str">
        <f t="shared" si="535"/>
        <v>OK!</v>
      </c>
      <c r="M148" s="407" t="str">
        <f t="shared" si="536"/>
        <v>OK!</v>
      </c>
      <c r="N148" s="407" t="str">
        <f t="shared" si="537"/>
        <v>OK!</v>
      </c>
      <c r="O148" s="407" t="str">
        <f t="shared" si="538"/>
        <v>OK!</v>
      </c>
      <c r="P148" s="407" t="str">
        <f t="shared" si="539"/>
        <v>OK!</v>
      </c>
      <c r="Q148" s="407" t="str">
        <f t="shared" si="540"/>
        <v>OK!</v>
      </c>
      <c r="R148" s="407" t="str">
        <f t="shared" si="541"/>
        <v>OK!</v>
      </c>
      <c r="S148" s="407" t="str">
        <f t="shared" si="542"/>
        <v>OK!</v>
      </c>
      <c r="T148" s="407" t="str">
        <f t="shared" si="543"/>
        <v>OK!</v>
      </c>
    </row>
    <row r="149" spans="1:20" x14ac:dyDescent="0.15">
      <c r="A149" s="555" t="str">
        <f>A$11</f>
        <v>Tavanet e përgjithshme</v>
      </c>
      <c r="B149" s="556"/>
      <c r="C149" s="563">
        <f>C155+C161+C167</f>
        <v>88487</v>
      </c>
      <c r="D149" s="563">
        <f t="shared" ref="D149:E149" si="545">D155+D161+D167</f>
        <v>98487</v>
      </c>
      <c r="E149" s="563">
        <f t="shared" si="545"/>
        <v>128486</v>
      </c>
      <c r="F149" s="407" t="str">
        <f>IF(C149&lt;0,"STOPP!","OK!")</f>
        <v>OK!</v>
      </c>
      <c r="G149" s="407" t="str">
        <f t="shared" ref="G149:G150" si="546">IF(D149&lt;0,"STOPP!","OK!")</f>
        <v>OK!</v>
      </c>
      <c r="H149" s="407" t="str">
        <f t="shared" ref="H149:H150" si="547">IF(E149&lt;0,"STOPP!","OK!")</f>
        <v>OK!</v>
      </c>
      <c r="I149" s="407" t="str">
        <f t="shared" ref="I149:I150" si="548">IF(F149&lt;0,"STOPP!","OK!")</f>
        <v>OK!</v>
      </c>
      <c r="J149" s="407" t="str">
        <f t="shared" ref="J149:J150" si="549">IF(G149&lt;0,"STOPP!","OK!")</f>
        <v>OK!</v>
      </c>
      <c r="K149" s="407" t="str">
        <f t="shared" ref="K149:K150" si="550">IF(H149&lt;0,"STOPP!","OK!")</f>
        <v>OK!</v>
      </c>
      <c r="L149" s="407" t="str">
        <f t="shared" ref="L149:L150" si="551">IF(I149&lt;0,"STOPP!","OK!")</f>
        <v>OK!</v>
      </c>
      <c r="M149" s="407" t="str">
        <f t="shared" ref="M149:M150" si="552">IF(J149&lt;0,"STOPP!","OK!")</f>
        <v>OK!</v>
      </c>
      <c r="N149" s="407" t="str">
        <f t="shared" ref="N149:N150" si="553">IF(K149&lt;0,"STOPP!","OK!")</f>
        <v>OK!</v>
      </c>
      <c r="O149" s="407" t="str">
        <f t="shared" ref="O149:O150" si="554">IF(L149&lt;0,"STOPP!","OK!")</f>
        <v>OK!</v>
      </c>
      <c r="P149" s="407" t="str">
        <f t="shared" ref="P149:P150" si="555">IF(M149&lt;0,"STOPP!","OK!")</f>
        <v>OK!</v>
      </c>
      <c r="Q149" s="407" t="str">
        <f t="shared" ref="Q149:Q150" si="556">IF(N149&lt;0,"STOPP!","OK!")</f>
        <v>OK!</v>
      </c>
      <c r="R149" s="407" t="str">
        <f t="shared" ref="R149:R150" si="557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7" t="str">
        <f>A$12</f>
        <v>Angazhimet kujtesë</v>
      </c>
      <c r="B150" s="563"/>
      <c r="C150" s="563">
        <f>'(C5) Angazhimet'!D59</f>
        <v>0</v>
      </c>
      <c r="D150" s="561">
        <f>'(C5) Angazhimet'!E59</f>
        <v>0</v>
      </c>
      <c r="E150" s="561">
        <f>'(C5) Angazhimet'!F59</f>
        <v>0</v>
      </c>
      <c r="F150" s="407" t="str">
        <f>IF(C150&gt;C149,"STOPP!","OK!")</f>
        <v>OK!</v>
      </c>
      <c r="G150" s="407" t="str">
        <f t="shared" si="546"/>
        <v>OK!</v>
      </c>
      <c r="H150" s="407" t="str">
        <f t="shared" si="547"/>
        <v>OK!</v>
      </c>
      <c r="I150" s="407" t="str">
        <f t="shared" si="548"/>
        <v>OK!</v>
      </c>
      <c r="J150" s="407" t="str">
        <f t="shared" si="549"/>
        <v>OK!</v>
      </c>
      <c r="K150" s="407" t="str">
        <f t="shared" si="550"/>
        <v>OK!</v>
      </c>
      <c r="L150" s="407" t="str">
        <f t="shared" si="551"/>
        <v>OK!</v>
      </c>
      <c r="M150" s="407" t="str">
        <f t="shared" si="552"/>
        <v>OK!</v>
      </c>
      <c r="N150" s="407" t="str">
        <f t="shared" si="553"/>
        <v>OK!</v>
      </c>
      <c r="O150" s="407" t="str">
        <f t="shared" si="554"/>
        <v>OK!</v>
      </c>
      <c r="P150" s="407" t="str">
        <f t="shared" si="555"/>
        <v>OK!</v>
      </c>
      <c r="Q150" s="407" t="str">
        <f t="shared" si="556"/>
        <v>OK!</v>
      </c>
      <c r="R150" s="407" t="str">
        <f t="shared" si="557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7" t="str">
        <f>'(B3) Struktura Funksionale'!B49</f>
        <v>04520</v>
      </c>
      <c r="B151" s="891" t="str">
        <f>'(B3) Struktura Funksionale'!C49</f>
        <v>Rrjeti rrugor rural</v>
      </c>
      <c r="C151" s="892"/>
      <c r="D151" s="892"/>
      <c r="E151" s="893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>
        <v>0</v>
      </c>
      <c r="D152" s="287">
        <v>0</v>
      </c>
      <c r="E152" s="287">
        <v>0</v>
      </c>
      <c r="F152" s="407" t="str">
        <f t="shared" ref="F152:F154" si="558">IF(C152&lt;0,"STOPP!","OK!")</f>
        <v>OK!</v>
      </c>
      <c r="G152" s="407" t="str">
        <f t="shared" ref="G152:G156" si="559">IF(D152&lt;0,"STOPP!","OK!")</f>
        <v>OK!</v>
      </c>
      <c r="H152" s="407" t="str">
        <f t="shared" ref="H152:H156" si="560">IF(E152&lt;0,"STOPP!","OK!")</f>
        <v>OK!</v>
      </c>
      <c r="I152" s="407" t="str">
        <f t="shared" ref="I152:I156" si="561">IF(F152&lt;0,"STOPP!","OK!")</f>
        <v>OK!</v>
      </c>
      <c r="J152" s="407" t="str">
        <f t="shared" ref="J152:J156" si="562">IF(G152&lt;0,"STOPP!","OK!")</f>
        <v>OK!</v>
      </c>
      <c r="K152" s="407" t="str">
        <f t="shared" ref="K152:K156" si="563">IF(H152&lt;0,"STOPP!","OK!")</f>
        <v>OK!</v>
      </c>
      <c r="L152" s="407" t="str">
        <f t="shared" ref="L152:L156" si="564">IF(I152&lt;0,"STOPP!","OK!")</f>
        <v>OK!</v>
      </c>
      <c r="M152" s="407" t="str">
        <f t="shared" ref="M152:M156" si="565">IF(J152&lt;0,"STOPP!","OK!")</f>
        <v>OK!</v>
      </c>
      <c r="N152" s="407" t="str">
        <f t="shared" ref="N152:N156" si="566">IF(K152&lt;0,"STOPP!","OK!")</f>
        <v>OK!</v>
      </c>
      <c r="O152" s="407" t="str">
        <f t="shared" ref="O152:O156" si="567">IF(L152&lt;0,"STOPP!","OK!")</f>
        <v>OK!</v>
      </c>
      <c r="P152" s="407" t="str">
        <f t="shared" ref="P152:P156" si="568">IF(M152&lt;0,"STOPP!","OK!")</f>
        <v>OK!</v>
      </c>
      <c r="Q152" s="407" t="str">
        <f t="shared" ref="Q152:Q156" si="569">IF(N152&lt;0,"STOPP!","OK!")</f>
        <v>OK!</v>
      </c>
      <c r="R152" s="407" t="str">
        <f t="shared" ref="R152:R156" si="570">IF(O152&lt;0,"STOPP!","OK!")</f>
        <v>OK!</v>
      </c>
      <c r="S152" s="407" t="str">
        <f t="shared" ref="S152:S154" si="571">IF(D152&lt;0,"STOPP!","OK!")</f>
        <v>OK!</v>
      </c>
      <c r="T152" s="407" t="str">
        <f t="shared" ref="T152:T154" si="572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/>
      <c r="D153" s="288"/>
      <c r="E153" s="288"/>
      <c r="F153" s="407" t="str">
        <f t="shared" si="558"/>
        <v>OK!</v>
      </c>
      <c r="G153" s="407" t="str">
        <f t="shared" si="559"/>
        <v>OK!</v>
      </c>
      <c r="H153" s="407" t="str">
        <f t="shared" si="560"/>
        <v>OK!</v>
      </c>
      <c r="I153" s="407" t="str">
        <f t="shared" si="561"/>
        <v>OK!</v>
      </c>
      <c r="J153" s="407" t="str">
        <f t="shared" si="562"/>
        <v>OK!</v>
      </c>
      <c r="K153" s="407" t="str">
        <f t="shared" si="563"/>
        <v>OK!</v>
      </c>
      <c r="L153" s="407" t="str">
        <f t="shared" si="564"/>
        <v>OK!</v>
      </c>
      <c r="M153" s="407" t="str">
        <f t="shared" si="565"/>
        <v>OK!</v>
      </c>
      <c r="N153" s="407" t="str">
        <f t="shared" si="566"/>
        <v>OK!</v>
      </c>
      <c r="O153" s="407" t="str">
        <f t="shared" si="567"/>
        <v>OK!</v>
      </c>
      <c r="P153" s="407" t="str">
        <f t="shared" si="568"/>
        <v>OK!</v>
      </c>
      <c r="Q153" s="407" t="str">
        <f t="shared" si="569"/>
        <v>OK!</v>
      </c>
      <c r="R153" s="407" t="str">
        <f t="shared" si="570"/>
        <v>OK!</v>
      </c>
      <c r="S153" s="407" t="str">
        <f t="shared" si="571"/>
        <v>OK!</v>
      </c>
      <c r="T153" s="407" t="str">
        <f t="shared" si="572"/>
        <v>OK!</v>
      </c>
    </row>
    <row r="154" spans="1:20" x14ac:dyDescent="0.15">
      <c r="A154" s="565" t="str">
        <f>A$10</f>
        <v>Shpenzimet kapitale</v>
      </c>
      <c r="B154" s="566"/>
      <c r="C154" s="563">
        <f>C155-C152-C153</f>
        <v>88487</v>
      </c>
      <c r="D154" s="561">
        <f>D155-D152-D153</f>
        <v>98487</v>
      </c>
      <c r="E154" s="561">
        <f>E155-E152-E153</f>
        <v>128486</v>
      </c>
      <c r="F154" s="407" t="str">
        <f t="shared" si="558"/>
        <v>OK!</v>
      </c>
      <c r="G154" s="407" t="str">
        <f t="shared" si="559"/>
        <v>OK!</v>
      </c>
      <c r="H154" s="407" t="str">
        <f t="shared" si="560"/>
        <v>OK!</v>
      </c>
      <c r="I154" s="407" t="str">
        <f t="shared" si="561"/>
        <v>OK!</v>
      </c>
      <c r="J154" s="407" t="str">
        <f t="shared" si="562"/>
        <v>OK!</v>
      </c>
      <c r="K154" s="407" t="str">
        <f t="shared" si="563"/>
        <v>OK!</v>
      </c>
      <c r="L154" s="407" t="str">
        <f t="shared" si="564"/>
        <v>OK!</v>
      </c>
      <c r="M154" s="407" t="str">
        <f t="shared" si="565"/>
        <v>OK!</v>
      </c>
      <c r="N154" s="407" t="str">
        <f t="shared" si="566"/>
        <v>OK!</v>
      </c>
      <c r="O154" s="407" t="str">
        <f t="shared" si="567"/>
        <v>OK!</v>
      </c>
      <c r="P154" s="407" t="str">
        <f t="shared" si="568"/>
        <v>OK!</v>
      </c>
      <c r="Q154" s="407" t="str">
        <f t="shared" si="569"/>
        <v>OK!</v>
      </c>
      <c r="R154" s="407" t="str">
        <f t="shared" si="570"/>
        <v>OK!</v>
      </c>
      <c r="S154" s="407" t="str">
        <f t="shared" si="571"/>
        <v>OK!</v>
      </c>
      <c r="T154" s="407" t="str">
        <f t="shared" si="572"/>
        <v>OK!</v>
      </c>
    </row>
    <row r="155" spans="1:20" x14ac:dyDescent="0.15">
      <c r="A155" s="555" t="str">
        <f>A$11</f>
        <v>Tavanet e përgjithshme</v>
      </c>
      <c r="B155" s="556"/>
      <c r="C155" s="564">
        <f>88487</f>
        <v>88487</v>
      </c>
      <c r="D155" s="564">
        <f>88487+10000</f>
        <v>98487</v>
      </c>
      <c r="E155" s="564">
        <f>88487+20000+19000+999</f>
        <v>128486</v>
      </c>
      <c r="F155" s="407" t="str">
        <f>IF(C155&lt;0,"STOPP!","OK!")</f>
        <v>OK!</v>
      </c>
      <c r="G155" s="407" t="str">
        <f t="shared" si="559"/>
        <v>OK!</v>
      </c>
      <c r="H155" s="407" t="str">
        <f t="shared" si="560"/>
        <v>OK!</v>
      </c>
      <c r="I155" s="407" t="str">
        <f t="shared" si="561"/>
        <v>OK!</v>
      </c>
      <c r="J155" s="407" t="str">
        <f t="shared" si="562"/>
        <v>OK!</v>
      </c>
      <c r="K155" s="407" t="str">
        <f t="shared" si="563"/>
        <v>OK!</v>
      </c>
      <c r="L155" s="407" t="str">
        <f t="shared" si="564"/>
        <v>OK!</v>
      </c>
      <c r="M155" s="407" t="str">
        <f t="shared" si="565"/>
        <v>OK!</v>
      </c>
      <c r="N155" s="407" t="str">
        <f t="shared" si="566"/>
        <v>OK!</v>
      </c>
      <c r="O155" s="407" t="str">
        <f t="shared" si="567"/>
        <v>OK!</v>
      </c>
      <c r="P155" s="407" t="str">
        <f t="shared" si="568"/>
        <v>OK!</v>
      </c>
      <c r="Q155" s="407" t="str">
        <f t="shared" si="569"/>
        <v>OK!</v>
      </c>
      <c r="R155" s="407" t="str">
        <f t="shared" si="570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7" t="str">
        <f>A$12</f>
        <v>Angazhimet kujtesë</v>
      </c>
      <c r="B156" s="563"/>
      <c r="C156" s="563">
        <f>'(C5) Angazhimet'!D55</f>
        <v>0</v>
      </c>
      <c r="D156" s="563">
        <f>'(C5) Angazhimet'!E55</f>
        <v>0</v>
      </c>
      <c r="E156" s="563">
        <f>'(C5) Angazhimet'!F55</f>
        <v>0</v>
      </c>
      <c r="F156" s="407" t="str">
        <f>IF(C156&gt;C155,"STOPP!","OK!")</f>
        <v>OK!</v>
      </c>
      <c r="G156" s="407" t="str">
        <f t="shared" si="559"/>
        <v>OK!</v>
      </c>
      <c r="H156" s="407" t="str">
        <f t="shared" si="560"/>
        <v>OK!</v>
      </c>
      <c r="I156" s="407" t="str">
        <f t="shared" si="561"/>
        <v>OK!</v>
      </c>
      <c r="J156" s="407" t="str">
        <f t="shared" si="562"/>
        <v>OK!</v>
      </c>
      <c r="K156" s="407" t="str">
        <f t="shared" si="563"/>
        <v>OK!</v>
      </c>
      <c r="L156" s="407" t="str">
        <f t="shared" si="564"/>
        <v>OK!</v>
      </c>
      <c r="M156" s="407" t="str">
        <f t="shared" si="565"/>
        <v>OK!</v>
      </c>
      <c r="N156" s="407" t="str">
        <f t="shared" si="566"/>
        <v>OK!</v>
      </c>
      <c r="O156" s="407" t="str">
        <f t="shared" si="567"/>
        <v>OK!</v>
      </c>
      <c r="P156" s="407" t="str">
        <f t="shared" si="568"/>
        <v>OK!</v>
      </c>
      <c r="Q156" s="407" t="str">
        <f t="shared" si="569"/>
        <v>OK!</v>
      </c>
      <c r="R156" s="407" t="str">
        <f t="shared" si="570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7" t="str">
        <f>'(B3) Struktura Funksionale'!B50</f>
        <v>04530</v>
      </c>
      <c r="B157" s="891" t="str">
        <f>'(B3) Struktura Funksionale'!C50</f>
        <v>Studimi i rrugëve</v>
      </c>
      <c r="C157" s="892"/>
      <c r="D157" s="892"/>
      <c r="E157" s="893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73">IF(C158&lt;0,"STOPP!","OK!")</f>
        <v>OK!</v>
      </c>
      <c r="G158" s="407" t="str">
        <f t="shared" ref="G158:G162" si="574">IF(D158&lt;0,"STOPP!","OK!")</f>
        <v>OK!</v>
      </c>
      <c r="H158" s="407" t="str">
        <f t="shared" ref="H158:H162" si="575">IF(E158&lt;0,"STOPP!","OK!")</f>
        <v>OK!</v>
      </c>
      <c r="I158" s="407" t="str">
        <f t="shared" ref="I158:I162" si="576">IF(F158&lt;0,"STOPP!","OK!")</f>
        <v>OK!</v>
      </c>
      <c r="J158" s="407" t="str">
        <f t="shared" ref="J158:J162" si="577">IF(G158&lt;0,"STOPP!","OK!")</f>
        <v>OK!</v>
      </c>
      <c r="K158" s="407" t="str">
        <f t="shared" ref="K158:K162" si="578">IF(H158&lt;0,"STOPP!","OK!")</f>
        <v>OK!</v>
      </c>
      <c r="L158" s="407" t="str">
        <f t="shared" ref="L158:L162" si="579">IF(I158&lt;0,"STOPP!","OK!")</f>
        <v>OK!</v>
      </c>
      <c r="M158" s="407" t="str">
        <f t="shared" ref="M158:M162" si="580">IF(J158&lt;0,"STOPP!","OK!")</f>
        <v>OK!</v>
      </c>
      <c r="N158" s="407" t="str">
        <f t="shared" ref="N158:N162" si="581">IF(K158&lt;0,"STOPP!","OK!")</f>
        <v>OK!</v>
      </c>
      <c r="O158" s="407" t="str">
        <f t="shared" ref="O158:O162" si="582">IF(L158&lt;0,"STOPP!","OK!")</f>
        <v>OK!</v>
      </c>
      <c r="P158" s="407" t="str">
        <f t="shared" ref="P158:P162" si="583">IF(M158&lt;0,"STOPP!","OK!")</f>
        <v>OK!</v>
      </c>
      <c r="Q158" s="407" t="str">
        <f t="shared" ref="Q158:Q162" si="584">IF(N158&lt;0,"STOPP!","OK!")</f>
        <v>OK!</v>
      </c>
      <c r="R158" s="407" t="str">
        <f t="shared" ref="R158:R162" si="585">IF(O158&lt;0,"STOPP!","OK!")</f>
        <v>OK!</v>
      </c>
      <c r="S158" s="407" t="str">
        <f t="shared" ref="S158:S160" si="586">IF(D158&lt;0,"STOPP!","OK!")</f>
        <v>OK!</v>
      </c>
      <c r="T158" s="407" t="str">
        <f t="shared" ref="T158:T160" si="587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73"/>
        <v>OK!</v>
      </c>
      <c r="G159" s="407" t="str">
        <f t="shared" si="574"/>
        <v>OK!</v>
      </c>
      <c r="H159" s="407" t="str">
        <f t="shared" si="575"/>
        <v>OK!</v>
      </c>
      <c r="I159" s="407" t="str">
        <f t="shared" si="576"/>
        <v>OK!</v>
      </c>
      <c r="J159" s="407" t="str">
        <f t="shared" si="577"/>
        <v>OK!</v>
      </c>
      <c r="K159" s="407" t="str">
        <f t="shared" si="578"/>
        <v>OK!</v>
      </c>
      <c r="L159" s="407" t="str">
        <f t="shared" si="579"/>
        <v>OK!</v>
      </c>
      <c r="M159" s="407" t="str">
        <f t="shared" si="580"/>
        <v>OK!</v>
      </c>
      <c r="N159" s="407" t="str">
        <f t="shared" si="581"/>
        <v>OK!</v>
      </c>
      <c r="O159" s="407" t="str">
        <f t="shared" si="582"/>
        <v>OK!</v>
      </c>
      <c r="P159" s="407" t="str">
        <f t="shared" si="583"/>
        <v>OK!</v>
      </c>
      <c r="Q159" s="407" t="str">
        <f t="shared" si="584"/>
        <v>OK!</v>
      </c>
      <c r="R159" s="407" t="str">
        <f t="shared" si="585"/>
        <v>OK!</v>
      </c>
      <c r="S159" s="407" t="str">
        <f t="shared" si="586"/>
        <v>OK!</v>
      </c>
      <c r="T159" s="407" t="str">
        <f t="shared" si="587"/>
        <v>OK!</v>
      </c>
    </row>
    <row r="160" spans="1:20" hidden="1" x14ac:dyDescent="0.15">
      <c r="A160" s="565" t="str">
        <f>A$10</f>
        <v>Shpenzimet kapitale</v>
      </c>
      <c r="B160" s="566"/>
      <c r="C160" s="563">
        <f>C161-C158-C159</f>
        <v>0</v>
      </c>
      <c r="D160" s="561">
        <f>D161-D158-D159</f>
        <v>0</v>
      </c>
      <c r="E160" s="561">
        <f>E161-E158-E159</f>
        <v>0</v>
      </c>
      <c r="F160" s="407" t="str">
        <f t="shared" si="573"/>
        <v>OK!</v>
      </c>
      <c r="G160" s="407" t="str">
        <f t="shared" si="574"/>
        <v>OK!</v>
      </c>
      <c r="H160" s="407" t="str">
        <f t="shared" si="575"/>
        <v>OK!</v>
      </c>
      <c r="I160" s="407" t="str">
        <f t="shared" si="576"/>
        <v>OK!</v>
      </c>
      <c r="J160" s="407" t="str">
        <f t="shared" si="577"/>
        <v>OK!</v>
      </c>
      <c r="K160" s="407" t="str">
        <f t="shared" si="578"/>
        <v>OK!</v>
      </c>
      <c r="L160" s="407" t="str">
        <f t="shared" si="579"/>
        <v>OK!</v>
      </c>
      <c r="M160" s="407" t="str">
        <f t="shared" si="580"/>
        <v>OK!</v>
      </c>
      <c r="N160" s="407" t="str">
        <f t="shared" si="581"/>
        <v>OK!</v>
      </c>
      <c r="O160" s="407" t="str">
        <f t="shared" si="582"/>
        <v>OK!</v>
      </c>
      <c r="P160" s="407" t="str">
        <f t="shared" si="583"/>
        <v>OK!</v>
      </c>
      <c r="Q160" s="407" t="str">
        <f t="shared" si="584"/>
        <v>OK!</v>
      </c>
      <c r="R160" s="407" t="str">
        <f t="shared" si="585"/>
        <v>OK!</v>
      </c>
      <c r="S160" s="407" t="str">
        <f t="shared" si="586"/>
        <v>OK!</v>
      </c>
      <c r="T160" s="407" t="str">
        <f t="shared" si="587"/>
        <v>OK!</v>
      </c>
    </row>
    <row r="161" spans="1:20" hidden="1" x14ac:dyDescent="0.15">
      <c r="A161" s="555" t="str">
        <f>A$11</f>
        <v>Tavanet e përgjithshme</v>
      </c>
      <c r="B161" s="556"/>
      <c r="C161" s="564"/>
      <c r="D161" s="562"/>
      <c r="E161" s="562"/>
      <c r="F161" s="407" t="str">
        <f>IF(C161&lt;0,"STOPP!","OK!")</f>
        <v>OK!</v>
      </c>
      <c r="G161" s="407" t="str">
        <f t="shared" si="574"/>
        <v>OK!</v>
      </c>
      <c r="H161" s="407" t="str">
        <f t="shared" si="575"/>
        <v>OK!</v>
      </c>
      <c r="I161" s="407" t="str">
        <f t="shared" si="576"/>
        <v>OK!</v>
      </c>
      <c r="J161" s="407" t="str">
        <f t="shared" si="577"/>
        <v>OK!</v>
      </c>
      <c r="K161" s="407" t="str">
        <f t="shared" si="578"/>
        <v>OK!</v>
      </c>
      <c r="L161" s="407" t="str">
        <f t="shared" si="579"/>
        <v>OK!</v>
      </c>
      <c r="M161" s="407" t="str">
        <f t="shared" si="580"/>
        <v>OK!</v>
      </c>
      <c r="N161" s="407" t="str">
        <f t="shared" si="581"/>
        <v>OK!</v>
      </c>
      <c r="O161" s="407" t="str">
        <f t="shared" si="582"/>
        <v>OK!</v>
      </c>
      <c r="P161" s="407" t="str">
        <f t="shared" si="583"/>
        <v>OK!</v>
      </c>
      <c r="Q161" s="407" t="str">
        <f t="shared" si="584"/>
        <v>OK!</v>
      </c>
      <c r="R161" s="407" t="str">
        <f t="shared" si="585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7" t="str">
        <f>A$12</f>
        <v>Angazhimet kujtesë</v>
      </c>
      <c r="B162" s="563"/>
      <c r="C162" s="563">
        <f>'(C5) Angazhimet'!D56</f>
        <v>0</v>
      </c>
      <c r="D162" s="563">
        <f>'(C5) Angazhimet'!E56</f>
        <v>0</v>
      </c>
      <c r="E162" s="563">
        <f>'(C5) Angazhimet'!F56</f>
        <v>0</v>
      </c>
      <c r="F162" s="407" t="str">
        <f>IF(C162&gt;C161,"STOPP!","OK!")</f>
        <v>OK!</v>
      </c>
      <c r="G162" s="407" t="str">
        <f t="shared" si="574"/>
        <v>OK!</v>
      </c>
      <c r="H162" s="407" t="str">
        <f t="shared" si="575"/>
        <v>OK!</v>
      </c>
      <c r="I162" s="407" t="str">
        <f t="shared" si="576"/>
        <v>OK!</v>
      </c>
      <c r="J162" s="407" t="str">
        <f t="shared" si="577"/>
        <v>OK!</v>
      </c>
      <c r="K162" s="407" t="str">
        <f t="shared" si="578"/>
        <v>OK!</v>
      </c>
      <c r="L162" s="407" t="str">
        <f t="shared" si="579"/>
        <v>OK!</v>
      </c>
      <c r="M162" s="407" t="str">
        <f t="shared" si="580"/>
        <v>OK!</v>
      </c>
      <c r="N162" s="407" t="str">
        <f t="shared" si="581"/>
        <v>OK!</v>
      </c>
      <c r="O162" s="407" t="str">
        <f t="shared" si="582"/>
        <v>OK!</v>
      </c>
      <c r="P162" s="407" t="str">
        <f t="shared" si="583"/>
        <v>OK!</v>
      </c>
      <c r="Q162" s="407" t="str">
        <f t="shared" si="584"/>
        <v>OK!</v>
      </c>
      <c r="R162" s="407" t="str">
        <f t="shared" si="585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7" t="str">
        <f>'(B3) Struktura Funksionale'!B51</f>
        <v>04570</v>
      </c>
      <c r="B163" s="891" t="str">
        <f>'(B3) Struktura Funksionale'!C51</f>
        <v>Transporti publik</v>
      </c>
      <c r="C163" s="892"/>
      <c r="D163" s="892"/>
      <c r="E163" s="893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88">IF(C164&lt;0,"STOPP!","OK!")</f>
        <v>OK!</v>
      </c>
      <c r="G164" s="407" t="str">
        <f t="shared" ref="G164:G168" si="589">IF(D164&lt;0,"STOPP!","OK!")</f>
        <v>OK!</v>
      </c>
      <c r="H164" s="407" t="str">
        <f t="shared" ref="H164:H168" si="590">IF(E164&lt;0,"STOPP!","OK!")</f>
        <v>OK!</v>
      </c>
      <c r="I164" s="407" t="str">
        <f t="shared" ref="I164:I168" si="591">IF(F164&lt;0,"STOPP!","OK!")</f>
        <v>OK!</v>
      </c>
      <c r="J164" s="407" t="str">
        <f t="shared" ref="J164:J168" si="592">IF(G164&lt;0,"STOPP!","OK!")</f>
        <v>OK!</v>
      </c>
      <c r="K164" s="407" t="str">
        <f t="shared" ref="K164:K168" si="593">IF(H164&lt;0,"STOPP!","OK!")</f>
        <v>OK!</v>
      </c>
      <c r="L164" s="407" t="str">
        <f t="shared" ref="L164:L168" si="594">IF(I164&lt;0,"STOPP!","OK!")</f>
        <v>OK!</v>
      </c>
      <c r="M164" s="407" t="str">
        <f t="shared" ref="M164:M168" si="595">IF(J164&lt;0,"STOPP!","OK!")</f>
        <v>OK!</v>
      </c>
      <c r="N164" s="407" t="str">
        <f t="shared" ref="N164:N168" si="596">IF(K164&lt;0,"STOPP!","OK!")</f>
        <v>OK!</v>
      </c>
      <c r="O164" s="407" t="str">
        <f t="shared" ref="O164:O168" si="597">IF(L164&lt;0,"STOPP!","OK!")</f>
        <v>OK!</v>
      </c>
      <c r="P164" s="407" t="str">
        <f t="shared" ref="P164:P168" si="598">IF(M164&lt;0,"STOPP!","OK!")</f>
        <v>OK!</v>
      </c>
      <c r="Q164" s="407" t="str">
        <f t="shared" ref="Q164:Q168" si="599">IF(N164&lt;0,"STOPP!","OK!")</f>
        <v>OK!</v>
      </c>
      <c r="R164" s="407" t="str">
        <f t="shared" ref="R164:R168" si="600">IF(O164&lt;0,"STOPP!","OK!")</f>
        <v>OK!</v>
      </c>
      <c r="S164" s="407" t="str">
        <f t="shared" ref="S164:S166" si="601">IF(D164&lt;0,"STOPP!","OK!")</f>
        <v>OK!</v>
      </c>
      <c r="T164" s="407" t="str">
        <f t="shared" ref="T164:T166" si="602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88"/>
        <v>OK!</v>
      </c>
      <c r="G165" s="407" t="str">
        <f t="shared" si="589"/>
        <v>OK!</v>
      </c>
      <c r="H165" s="407" t="str">
        <f t="shared" si="590"/>
        <v>OK!</v>
      </c>
      <c r="I165" s="407" t="str">
        <f t="shared" si="591"/>
        <v>OK!</v>
      </c>
      <c r="J165" s="407" t="str">
        <f t="shared" si="592"/>
        <v>OK!</v>
      </c>
      <c r="K165" s="407" t="str">
        <f t="shared" si="593"/>
        <v>OK!</v>
      </c>
      <c r="L165" s="407" t="str">
        <f t="shared" si="594"/>
        <v>OK!</v>
      </c>
      <c r="M165" s="407" t="str">
        <f t="shared" si="595"/>
        <v>OK!</v>
      </c>
      <c r="N165" s="407" t="str">
        <f t="shared" si="596"/>
        <v>OK!</v>
      </c>
      <c r="O165" s="407" t="str">
        <f t="shared" si="597"/>
        <v>OK!</v>
      </c>
      <c r="P165" s="407" t="str">
        <f t="shared" si="598"/>
        <v>OK!</v>
      </c>
      <c r="Q165" s="407" t="str">
        <f t="shared" si="599"/>
        <v>OK!</v>
      </c>
      <c r="R165" s="407" t="str">
        <f t="shared" si="600"/>
        <v>OK!</v>
      </c>
      <c r="S165" s="407" t="str">
        <f t="shared" si="601"/>
        <v>OK!</v>
      </c>
      <c r="T165" s="407" t="str">
        <f t="shared" si="602"/>
        <v>OK!</v>
      </c>
    </row>
    <row r="166" spans="1:20" x14ac:dyDescent="0.15">
      <c r="A166" s="565" t="str">
        <f>A$10</f>
        <v>Shpenzimet kapitale</v>
      </c>
      <c r="B166" s="566"/>
      <c r="C166" s="563">
        <f>C167-C164-C165</f>
        <v>0</v>
      </c>
      <c r="D166" s="561">
        <f>D167-D164-D165</f>
        <v>0</v>
      </c>
      <c r="E166" s="561">
        <f>E167-E164-E165</f>
        <v>0</v>
      </c>
      <c r="F166" s="407" t="str">
        <f t="shared" si="588"/>
        <v>OK!</v>
      </c>
      <c r="G166" s="407" t="str">
        <f t="shared" si="589"/>
        <v>OK!</v>
      </c>
      <c r="H166" s="407" t="str">
        <f t="shared" si="590"/>
        <v>OK!</v>
      </c>
      <c r="I166" s="407" t="str">
        <f t="shared" si="591"/>
        <v>OK!</v>
      </c>
      <c r="J166" s="407" t="str">
        <f t="shared" si="592"/>
        <v>OK!</v>
      </c>
      <c r="K166" s="407" t="str">
        <f t="shared" si="593"/>
        <v>OK!</v>
      </c>
      <c r="L166" s="407" t="str">
        <f t="shared" si="594"/>
        <v>OK!</v>
      </c>
      <c r="M166" s="407" t="str">
        <f t="shared" si="595"/>
        <v>OK!</v>
      </c>
      <c r="N166" s="407" t="str">
        <f t="shared" si="596"/>
        <v>OK!</v>
      </c>
      <c r="O166" s="407" t="str">
        <f t="shared" si="597"/>
        <v>OK!</v>
      </c>
      <c r="P166" s="407" t="str">
        <f t="shared" si="598"/>
        <v>OK!</v>
      </c>
      <c r="Q166" s="407" t="str">
        <f t="shared" si="599"/>
        <v>OK!</v>
      </c>
      <c r="R166" s="407" t="str">
        <f t="shared" si="600"/>
        <v>OK!</v>
      </c>
      <c r="S166" s="407" t="str">
        <f t="shared" si="601"/>
        <v>OK!</v>
      </c>
      <c r="T166" s="407" t="str">
        <f t="shared" si="602"/>
        <v>OK!</v>
      </c>
    </row>
    <row r="167" spans="1:20" x14ac:dyDescent="0.15">
      <c r="A167" s="555" t="str">
        <f>A$11</f>
        <v>Tavanet e përgjithshme</v>
      </c>
      <c r="B167" s="556"/>
      <c r="C167" s="564"/>
      <c r="D167" s="562"/>
      <c r="E167" s="562"/>
      <c r="F167" s="407" t="str">
        <f>IF(C167&lt;0,"STOPP!","OK!")</f>
        <v>OK!</v>
      </c>
      <c r="G167" s="407" t="str">
        <f t="shared" si="589"/>
        <v>OK!</v>
      </c>
      <c r="H167" s="407" t="str">
        <f t="shared" si="590"/>
        <v>OK!</v>
      </c>
      <c r="I167" s="407" t="str">
        <f t="shared" si="591"/>
        <v>OK!</v>
      </c>
      <c r="J167" s="407" t="str">
        <f t="shared" si="592"/>
        <v>OK!</v>
      </c>
      <c r="K167" s="407" t="str">
        <f t="shared" si="593"/>
        <v>OK!</v>
      </c>
      <c r="L167" s="407" t="str">
        <f t="shared" si="594"/>
        <v>OK!</v>
      </c>
      <c r="M167" s="407" t="str">
        <f t="shared" si="595"/>
        <v>OK!</v>
      </c>
      <c r="N167" s="407" t="str">
        <f t="shared" si="596"/>
        <v>OK!</v>
      </c>
      <c r="O167" s="407" t="str">
        <f t="shared" si="597"/>
        <v>OK!</v>
      </c>
      <c r="P167" s="407" t="str">
        <f t="shared" si="598"/>
        <v>OK!</v>
      </c>
      <c r="Q167" s="407" t="str">
        <f t="shared" si="599"/>
        <v>OK!</v>
      </c>
      <c r="R167" s="407" t="str">
        <f t="shared" si="600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7" t="str">
        <f>A$12</f>
        <v>Angazhimet kujtesë</v>
      </c>
      <c r="B168" s="563"/>
      <c r="C168" s="563">
        <f>'(C5) Angazhimet'!D57</f>
        <v>0</v>
      </c>
      <c r="D168" s="563">
        <f>'(C5) Angazhimet'!E57</f>
        <v>0</v>
      </c>
      <c r="E168" s="563">
        <f>'(C5) Angazhimet'!F57</f>
        <v>0</v>
      </c>
      <c r="F168" s="407" t="str">
        <f>IF(C168&gt;C167,"STOPP!","OK!")</f>
        <v>OK!</v>
      </c>
      <c r="G168" s="407" t="str">
        <f t="shared" si="589"/>
        <v>OK!</v>
      </c>
      <c r="H168" s="407" t="str">
        <f t="shared" si="590"/>
        <v>OK!</v>
      </c>
      <c r="I168" s="407" t="str">
        <f t="shared" si="591"/>
        <v>OK!</v>
      </c>
      <c r="J168" s="407" t="str">
        <f t="shared" si="592"/>
        <v>OK!</v>
      </c>
      <c r="K168" s="407" t="str">
        <f t="shared" si="593"/>
        <v>OK!</v>
      </c>
      <c r="L168" s="407" t="str">
        <f t="shared" si="594"/>
        <v>OK!</v>
      </c>
      <c r="M168" s="407" t="str">
        <f t="shared" si="595"/>
        <v>OK!</v>
      </c>
      <c r="N168" s="407" t="str">
        <f t="shared" si="596"/>
        <v>OK!</v>
      </c>
      <c r="O168" s="407" t="str">
        <f t="shared" si="597"/>
        <v>OK!</v>
      </c>
      <c r="P168" s="407" t="str">
        <f t="shared" si="598"/>
        <v>OK!</v>
      </c>
      <c r="Q168" s="407" t="str">
        <f t="shared" si="599"/>
        <v>OK!</v>
      </c>
      <c r="R168" s="407" t="str">
        <f t="shared" si="600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6" t="str">
        <f>'(B2) Struktura Organizative'!A29</f>
        <v>Nënfunksioni 9</v>
      </c>
      <c r="B169" s="894" t="str">
        <f>'(B2) Struktura Organizative'!B29</f>
        <v>047 Industri të tjera</v>
      </c>
      <c r="C169" s="895"/>
      <c r="D169" s="895"/>
      <c r="E169" s="896"/>
      <c r="G169" s="312">
        <f>C173</f>
        <v>0</v>
      </c>
      <c r="H169" s="312">
        <f t="shared" ref="H169" si="603">D173</f>
        <v>0</v>
      </c>
      <c r="I169" s="312">
        <f t="shared" ref="I169" si="604">E173</f>
        <v>0</v>
      </c>
      <c r="J169" s="312">
        <f>C170</f>
        <v>0</v>
      </c>
      <c r="K169" s="312">
        <f t="shared" ref="K169" si="605">D170</f>
        <v>0</v>
      </c>
      <c r="L169" s="312">
        <f t="shared" ref="L169" si="606">E170</f>
        <v>0</v>
      </c>
      <c r="M169" s="312">
        <f>C171</f>
        <v>0</v>
      </c>
      <c r="N169" s="312">
        <f t="shared" ref="N169" si="607">D171</f>
        <v>0</v>
      </c>
      <c r="O169" s="312">
        <f t="shared" ref="O169" si="608">E171</f>
        <v>0</v>
      </c>
      <c r="P169" s="312">
        <f>C172</f>
        <v>0</v>
      </c>
      <c r="Q169" s="312">
        <f t="shared" ref="Q169" si="609">D172</f>
        <v>0</v>
      </c>
      <c r="R169" s="312">
        <f t="shared" ref="R169" si="610">E172</f>
        <v>0</v>
      </c>
    </row>
    <row r="170" spans="1:20" x14ac:dyDescent="0.15">
      <c r="A170" s="286" t="str">
        <f>A$8</f>
        <v>Pagat dhe sigurimet shoqërore</v>
      </c>
      <c r="B170" s="286"/>
      <c r="C170" s="563">
        <f>C176+C182</f>
        <v>0</v>
      </c>
      <c r="D170" s="563">
        <f t="shared" ref="D170:E170" si="611">D176+D182</f>
        <v>0</v>
      </c>
      <c r="E170" s="563">
        <f t="shared" si="611"/>
        <v>0</v>
      </c>
      <c r="F170" s="407" t="str">
        <f t="shared" ref="F170:F172" si="612">IF(C170&lt;0,"STOPP!","OK!")</f>
        <v>OK!</v>
      </c>
      <c r="G170" s="407" t="str">
        <f t="shared" ref="G170:G172" si="613">IF(D170&lt;0,"STOPP!","OK!")</f>
        <v>OK!</v>
      </c>
      <c r="H170" s="407" t="str">
        <f t="shared" ref="H170:H172" si="614">IF(E170&lt;0,"STOPP!","OK!")</f>
        <v>OK!</v>
      </c>
      <c r="I170" s="407" t="str">
        <f t="shared" ref="I170:I172" si="615">IF(F170&lt;0,"STOPP!","OK!")</f>
        <v>OK!</v>
      </c>
      <c r="J170" s="407" t="str">
        <f t="shared" ref="J170:J172" si="616">IF(G170&lt;0,"STOPP!","OK!")</f>
        <v>OK!</v>
      </c>
      <c r="K170" s="407" t="str">
        <f t="shared" ref="K170:K172" si="617">IF(H170&lt;0,"STOPP!","OK!")</f>
        <v>OK!</v>
      </c>
      <c r="L170" s="407" t="str">
        <f t="shared" ref="L170:L172" si="618">IF(I170&lt;0,"STOPP!","OK!")</f>
        <v>OK!</v>
      </c>
      <c r="M170" s="407" t="str">
        <f t="shared" ref="M170:M172" si="619">IF(J170&lt;0,"STOPP!","OK!")</f>
        <v>OK!</v>
      </c>
      <c r="N170" s="407" t="str">
        <f t="shared" ref="N170:N172" si="620">IF(K170&lt;0,"STOPP!","OK!")</f>
        <v>OK!</v>
      </c>
      <c r="O170" s="407" t="str">
        <f t="shared" ref="O170:O172" si="621">IF(L170&lt;0,"STOPP!","OK!")</f>
        <v>OK!</v>
      </c>
      <c r="P170" s="407" t="str">
        <f t="shared" ref="P170:P172" si="622">IF(M170&lt;0,"STOPP!","OK!")</f>
        <v>OK!</v>
      </c>
      <c r="Q170" s="407" t="str">
        <f t="shared" ref="Q170:Q172" si="623">IF(N170&lt;0,"STOPP!","OK!")</f>
        <v>OK!</v>
      </c>
      <c r="R170" s="407" t="str">
        <f t="shared" ref="R170:R172" si="624">IF(O170&lt;0,"STOPP!","OK!")</f>
        <v>OK!</v>
      </c>
      <c r="S170" s="407" t="str">
        <f t="shared" ref="S170:S172" si="625">IF(D170&lt;0,"STOPP!","OK!")</f>
        <v>OK!</v>
      </c>
      <c r="T170" s="407" t="str">
        <f t="shared" ref="T170:T172" si="626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3">
        <f>C177+C183</f>
        <v>0</v>
      </c>
      <c r="D171" s="563">
        <f t="shared" ref="D171:E171" si="627">D177+D183</f>
        <v>0</v>
      </c>
      <c r="E171" s="563">
        <f t="shared" si="627"/>
        <v>0</v>
      </c>
      <c r="F171" s="407" t="str">
        <f t="shared" si="612"/>
        <v>OK!</v>
      </c>
      <c r="G171" s="407" t="str">
        <f t="shared" si="613"/>
        <v>OK!</v>
      </c>
      <c r="H171" s="407" t="str">
        <f t="shared" si="614"/>
        <v>OK!</v>
      </c>
      <c r="I171" s="407" t="str">
        <f t="shared" si="615"/>
        <v>OK!</v>
      </c>
      <c r="J171" s="407" t="str">
        <f t="shared" si="616"/>
        <v>OK!</v>
      </c>
      <c r="K171" s="407" t="str">
        <f t="shared" si="617"/>
        <v>OK!</v>
      </c>
      <c r="L171" s="407" t="str">
        <f t="shared" si="618"/>
        <v>OK!</v>
      </c>
      <c r="M171" s="407" t="str">
        <f t="shared" si="619"/>
        <v>OK!</v>
      </c>
      <c r="N171" s="407" t="str">
        <f t="shared" si="620"/>
        <v>OK!</v>
      </c>
      <c r="O171" s="407" t="str">
        <f t="shared" si="621"/>
        <v>OK!</v>
      </c>
      <c r="P171" s="407" t="str">
        <f t="shared" si="622"/>
        <v>OK!</v>
      </c>
      <c r="Q171" s="407" t="str">
        <f t="shared" si="623"/>
        <v>OK!</v>
      </c>
      <c r="R171" s="407" t="str">
        <f t="shared" si="624"/>
        <v>OK!</v>
      </c>
      <c r="S171" s="407" t="str">
        <f t="shared" si="625"/>
        <v>OK!</v>
      </c>
      <c r="T171" s="407" t="str">
        <f t="shared" si="626"/>
        <v>OK!</v>
      </c>
    </row>
    <row r="172" spans="1:20" x14ac:dyDescent="0.15">
      <c r="A172" s="565" t="str">
        <f>A$10</f>
        <v>Shpenzimet kapitale</v>
      </c>
      <c r="B172" s="566"/>
      <c r="C172" s="563">
        <f>C173-C170-C171</f>
        <v>0</v>
      </c>
      <c r="D172" s="561">
        <f>D173-D170-D171</f>
        <v>0</v>
      </c>
      <c r="E172" s="561">
        <f>E173-E170-E171</f>
        <v>0</v>
      </c>
      <c r="F172" s="407" t="str">
        <f t="shared" si="612"/>
        <v>OK!</v>
      </c>
      <c r="G172" s="407" t="str">
        <f t="shared" si="613"/>
        <v>OK!</v>
      </c>
      <c r="H172" s="407" t="str">
        <f t="shared" si="614"/>
        <v>OK!</v>
      </c>
      <c r="I172" s="407" t="str">
        <f t="shared" si="615"/>
        <v>OK!</v>
      </c>
      <c r="J172" s="407" t="str">
        <f t="shared" si="616"/>
        <v>OK!</v>
      </c>
      <c r="K172" s="407" t="str">
        <f t="shared" si="617"/>
        <v>OK!</v>
      </c>
      <c r="L172" s="407" t="str">
        <f t="shared" si="618"/>
        <v>OK!</v>
      </c>
      <c r="M172" s="407" t="str">
        <f t="shared" si="619"/>
        <v>OK!</v>
      </c>
      <c r="N172" s="407" t="str">
        <f t="shared" si="620"/>
        <v>OK!</v>
      </c>
      <c r="O172" s="407" t="str">
        <f t="shared" si="621"/>
        <v>OK!</v>
      </c>
      <c r="P172" s="407" t="str">
        <f t="shared" si="622"/>
        <v>OK!</v>
      </c>
      <c r="Q172" s="407" t="str">
        <f t="shared" si="623"/>
        <v>OK!</v>
      </c>
      <c r="R172" s="407" t="str">
        <f t="shared" si="624"/>
        <v>OK!</v>
      </c>
      <c r="S172" s="407" t="str">
        <f t="shared" si="625"/>
        <v>OK!</v>
      </c>
      <c r="T172" s="407" t="str">
        <f t="shared" si="626"/>
        <v>OK!</v>
      </c>
    </row>
    <row r="173" spans="1:20" x14ac:dyDescent="0.15">
      <c r="A173" s="555" t="str">
        <f>A$11</f>
        <v>Tavanet e përgjithshme</v>
      </c>
      <c r="B173" s="556"/>
      <c r="C173" s="563">
        <f>C179+C185</f>
        <v>0</v>
      </c>
      <c r="D173" s="563">
        <f t="shared" ref="D173:E173" si="628">D179+D185</f>
        <v>0</v>
      </c>
      <c r="E173" s="563">
        <f t="shared" si="628"/>
        <v>0</v>
      </c>
      <c r="F173" s="407" t="str">
        <f>IF(C173&lt;0,"STOPP!","OK!")</f>
        <v>OK!</v>
      </c>
      <c r="G173" s="407" t="str">
        <f t="shared" ref="G173:G174" si="629">IF(D173&lt;0,"STOPP!","OK!")</f>
        <v>OK!</v>
      </c>
      <c r="H173" s="407" t="str">
        <f t="shared" ref="H173:H174" si="630">IF(E173&lt;0,"STOPP!","OK!")</f>
        <v>OK!</v>
      </c>
      <c r="I173" s="407" t="str">
        <f t="shared" ref="I173:I174" si="631">IF(F173&lt;0,"STOPP!","OK!")</f>
        <v>OK!</v>
      </c>
      <c r="J173" s="407" t="str">
        <f t="shared" ref="J173:J174" si="632">IF(G173&lt;0,"STOPP!","OK!")</f>
        <v>OK!</v>
      </c>
      <c r="K173" s="407" t="str">
        <f t="shared" ref="K173:K174" si="633">IF(H173&lt;0,"STOPP!","OK!")</f>
        <v>OK!</v>
      </c>
      <c r="L173" s="407" t="str">
        <f t="shared" ref="L173:L174" si="634">IF(I173&lt;0,"STOPP!","OK!")</f>
        <v>OK!</v>
      </c>
      <c r="M173" s="407" t="str">
        <f t="shared" ref="M173:M174" si="635">IF(J173&lt;0,"STOPP!","OK!")</f>
        <v>OK!</v>
      </c>
      <c r="N173" s="407" t="str">
        <f t="shared" ref="N173:N174" si="636">IF(K173&lt;0,"STOPP!","OK!")</f>
        <v>OK!</v>
      </c>
      <c r="O173" s="407" t="str">
        <f t="shared" ref="O173:O174" si="637">IF(L173&lt;0,"STOPP!","OK!")</f>
        <v>OK!</v>
      </c>
      <c r="P173" s="407" t="str">
        <f t="shared" ref="P173:P174" si="638">IF(M173&lt;0,"STOPP!","OK!")</f>
        <v>OK!</v>
      </c>
      <c r="Q173" s="407" t="str">
        <f t="shared" ref="Q173:Q174" si="639">IF(N173&lt;0,"STOPP!","OK!")</f>
        <v>OK!</v>
      </c>
      <c r="R173" s="407" t="str">
        <f t="shared" ref="R173:R174" si="640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7" t="str">
        <f>A$12</f>
        <v>Angazhimet kujtesë</v>
      </c>
      <c r="B174" s="563"/>
      <c r="C174" s="563">
        <f>'(C5) Angazhimet'!D65</f>
        <v>0</v>
      </c>
      <c r="D174" s="561">
        <f>'(C5) Angazhimet'!E65</f>
        <v>0</v>
      </c>
      <c r="E174" s="561">
        <f>'(C5) Angazhimet'!F65</f>
        <v>0</v>
      </c>
      <c r="F174" s="407" t="str">
        <f>IF(C174&gt;C173,"STOPP!","OK!")</f>
        <v>OK!</v>
      </c>
      <c r="G174" s="407" t="str">
        <f t="shared" si="629"/>
        <v>OK!</v>
      </c>
      <c r="H174" s="407" t="str">
        <f t="shared" si="630"/>
        <v>OK!</v>
      </c>
      <c r="I174" s="407" t="str">
        <f t="shared" si="631"/>
        <v>OK!</v>
      </c>
      <c r="J174" s="407" t="str">
        <f t="shared" si="632"/>
        <v>OK!</v>
      </c>
      <c r="K174" s="407" t="str">
        <f t="shared" si="633"/>
        <v>OK!</v>
      </c>
      <c r="L174" s="407" t="str">
        <f t="shared" si="634"/>
        <v>OK!</v>
      </c>
      <c r="M174" s="407" t="str">
        <f t="shared" si="635"/>
        <v>OK!</v>
      </c>
      <c r="N174" s="407" t="str">
        <f t="shared" si="636"/>
        <v>OK!</v>
      </c>
      <c r="O174" s="407" t="str">
        <f t="shared" si="637"/>
        <v>OK!</v>
      </c>
      <c r="P174" s="407" t="str">
        <f t="shared" si="638"/>
        <v>OK!</v>
      </c>
      <c r="Q174" s="407" t="str">
        <f t="shared" si="639"/>
        <v>OK!</v>
      </c>
      <c r="R174" s="407" t="str">
        <f t="shared" si="640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7" t="str">
        <f>'(B3) Struktura Funksionale'!B54</f>
        <v>04740</v>
      </c>
      <c r="B175" s="891" t="str">
        <f>'(B3) Struktura Funksionale'!C54</f>
        <v>Projekte Zhvillimi</v>
      </c>
      <c r="C175" s="892"/>
      <c r="D175" s="892"/>
      <c r="E175" s="893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41">IF(C176&lt;0,"STOPP!","OK!")</f>
        <v>OK!</v>
      </c>
      <c r="G176" s="407" t="str">
        <f t="shared" ref="G176:G180" si="642">IF(D176&lt;0,"STOPP!","OK!")</f>
        <v>OK!</v>
      </c>
      <c r="H176" s="407" t="str">
        <f t="shared" ref="H176:H180" si="643">IF(E176&lt;0,"STOPP!","OK!")</f>
        <v>OK!</v>
      </c>
      <c r="I176" s="407" t="str">
        <f t="shared" ref="I176:I180" si="644">IF(F176&lt;0,"STOPP!","OK!")</f>
        <v>OK!</v>
      </c>
      <c r="J176" s="407" t="str">
        <f t="shared" ref="J176:J180" si="645">IF(G176&lt;0,"STOPP!","OK!")</f>
        <v>OK!</v>
      </c>
      <c r="K176" s="407" t="str">
        <f t="shared" ref="K176:K180" si="646">IF(H176&lt;0,"STOPP!","OK!")</f>
        <v>OK!</v>
      </c>
      <c r="L176" s="407" t="str">
        <f t="shared" ref="L176:L180" si="647">IF(I176&lt;0,"STOPP!","OK!")</f>
        <v>OK!</v>
      </c>
      <c r="M176" s="407" t="str">
        <f t="shared" ref="M176:M180" si="648">IF(J176&lt;0,"STOPP!","OK!")</f>
        <v>OK!</v>
      </c>
      <c r="N176" s="407" t="str">
        <f t="shared" ref="N176:N180" si="649">IF(K176&lt;0,"STOPP!","OK!")</f>
        <v>OK!</v>
      </c>
      <c r="O176" s="407" t="str">
        <f t="shared" ref="O176:O180" si="650">IF(L176&lt;0,"STOPP!","OK!")</f>
        <v>OK!</v>
      </c>
      <c r="P176" s="407" t="str">
        <f t="shared" ref="P176:P180" si="651">IF(M176&lt;0,"STOPP!","OK!")</f>
        <v>OK!</v>
      </c>
      <c r="Q176" s="407" t="str">
        <f t="shared" ref="Q176:Q180" si="652">IF(N176&lt;0,"STOPP!","OK!")</f>
        <v>OK!</v>
      </c>
      <c r="R176" s="407" t="str">
        <f t="shared" ref="R176:R180" si="653">IF(O176&lt;0,"STOPP!","OK!")</f>
        <v>OK!</v>
      </c>
      <c r="S176" s="407" t="str">
        <f t="shared" ref="S176:S178" si="654">IF(D176&lt;0,"STOPP!","OK!")</f>
        <v>OK!</v>
      </c>
      <c r="T176" s="407" t="str">
        <f t="shared" ref="T176:T178" si="655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41"/>
        <v>OK!</v>
      </c>
      <c r="G177" s="407" t="str">
        <f t="shared" si="642"/>
        <v>OK!</v>
      </c>
      <c r="H177" s="407" t="str">
        <f t="shared" si="643"/>
        <v>OK!</v>
      </c>
      <c r="I177" s="407" t="str">
        <f t="shared" si="644"/>
        <v>OK!</v>
      </c>
      <c r="J177" s="407" t="str">
        <f t="shared" si="645"/>
        <v>OK!</v>
      </c>
      <c r="K177" s="407" t="str">
        <f t="shared" si="646"/>
        <v>OK!</v>
      </c>
      <c r="L177" s="407" t="str">
        <f t="shared" si="647"/>
        <v>OK!</v>
      </c>
      <c r="M177" s="407" t="str">
        <f t="shared" si="648"/>
        <v>OK!</v>
      </c>
      <c r="N177" s="407" t="str">
        <f t="shared" si="649"/>
        <v>OK!</v>
      </c>
      <c r="O177" s="407" t="str">
        <f t="shared" si="650"/>
        <v>OK!</v>
      </c>
      <c r="P177" s="407" t="str">
        <f t="shared" si="651"/>
        <v>OK!</v>
      </c>
      <c r="Q177" s="407" t="str">
        <f t="shared" si="652"/>
        <v>OK!</v>
      </c>
      <c r="R177" s="407" t="str">
        <f t="shared" si="653"/>
        <v>OK!</v>
      </c>
      <c r="S177" s="407" t="str">
        <f t="shared" si="654"/>
        <v>OK!</v>
      </c>
      <c r="T177" s="407" t="str">
        <f t="shared" si="655"/>
        <v>OK!</v>
      </c>
    </row>
    <row r="178" spans="1:20" x14ac:dyDescent="0.15">
      <c r="A178" s="565" t="str">
        <f>A$10</f>
        <v>Shpenzimet kapitale</v>
      </c>
      <c r="B178" s="566"/>
      <c r="C178" s="563">
        <f>C179-C176-C177</f>
        <v>0</v>
      </c>
      <c r="D178" s="561">
        <f>D179-D176-D177</f>
        <v>0</v>
      </c>
      <c r="E178" s="561">
        <f>E179-E176-E177</f>
        <v>0</v>
      </c>
      <c r="F178" s="407" t="str">
        <f t="shared" si="641"/>
        <v>OK!</v>
      </c>
      <c r="G178" s="407" t="str">
        <f t="shared" si="642"/>
        <v>OK!</v>
      </c>
      <c r="H178" s="407" t="str">
        <f t="shared" si="643"/>
        <v>OK!</v>
      </c>
      <c r="I178" s="407" t="str">
        <f t="shared" si="644"/>
        <v>OK!</v>
      </c>
      <c r="J178" s="407" t="str">
        <f t="shared" si="645"/>
        <v>OK!</v>
      </c>
      <c r="K178" s="407" t="str">
        <f t="shared" si="646"/>
        <v>OK!</v>
      </c>
      <c r="L178" s="407" t="str">
        <f t="shared" si="647"/>
        <v>OK!</v>
      </c>
      <c r="M178" s="407" t="str">
        <f t="shared" si="648"/>
        <v>OK!</v>
      </c>
      <c r="N178" s="407" t="str">
        <f t="shared" si="649"/>
        <v>OK!</v>
      </c>
      <c r="O178" s="407" t="str">
        <f t="shared" si="650"/>
        <v>OK!</v>
      </c>
      <c r="P178" s="407" t="str">
        <f t="shared" si="651"/>
        <v>OK!</v>
      </c>
      <c r="Q178" s="407" t="str">
        <f t="shared" si="652"/>
        <v>OK!</v>
      </c>
      <c r="R178" s="407" t="str">
        <f t="shared" si="653"/>
        <v>OK!</v>
      </c>
      <c r="S178" s="407" t="str">
        <f t="shared" si="654"/>
        <v>OK!</v>
      </c>
      <c r="T178" s="407" t="str">
        <f t="shared" si="655"/>
        <v>OK!</v>
      </c>
    </row>
    <row r="179" spans="1:20" x14ac:dyDescent="0.15">
      <c r="A179" s="555" t="str">
        <f>A$11</f>
        <v>Tavanet e përgjithshme</v>
      </c>
      <c r="B179" s="556"/>
      <c r="C179" s="564"/>
      <c r="D179" s="562"/>
      <c r="E179" s="562"/>
      <c r="F179" s="407" t="str">
        <f>IF(C179&lt;0,"STOPP!","OK!")</f>
        <v>OK!</v>
      </c>
      <c r="G179" s="407" t="str">
        <f t="shared" si="642"/>
        <v>OK!</v>
      </c>
      <c r="H179" s="407" t="str">
        <f t="shared" si="643"/>
        <v>OK!</v>
      </c>
      <c r="I179" s="407" t="str">
        <f t="shared" si="644"/>
        <v>OK!</v>
      </c>
      <c r="J179" s="407" t="str">
        <f t="shared" si="645"/>
        <v>OK!</v>
      </c>
      <c r="K179" s="407" t="str">
        <f t="shared" si="646"/>
        <v>OK!</v>
      </c>
      <c r="L179" s="407" t="str">
        <f t="shared" si="647"/>
        <v>OK!</v>
      </c>
      <c r="M179" s="407" t="str">
        <f t="shared" si="648"/>
        <v>OK!</v>
      </c>
      <c r="N179" s="407" t="str">
        <f t="shared" si="649"/>
        <v>OK!</v>
      </c>
      <c r="O179" s="407" t="str">
        <f t="shared" si="650"/>
        <v>OK!</v>
      </c>
      <c r="P179" s="407" t="str">
        <f t="shared" si="651"/>
        <v>OK!</v>
      </c>
      <c r="Q179" s="407" t="str">
        <f t="shared" si="652"/>
        <v>OK!</v>
      </c>
      <c r="R179" s="407" t="str">
        <f t="shared" si="653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7" t="str">
        <f>A$12</f>
        <v>Angazhimet kujtesë</v>
      </c>
      <c r="B180" s="563"/>
      <c r="C180" s="563">
        <f>'(C5) Angazhimet'!D61</f>
        <v>0</v>
      </c>
      <c r="D180" s="563">
        <f>'(C5) Angazhimet'!E61</f>
        <v>0</v>
      </c>
      <c r="E180" s="563">
        <f>'(C5) Angazhimet'!F61</f>
        <v>0</v>
      </c>
      <c r="F180" s="407" t="str">
        <f>IF(C180&gt;C179,"STOPP!","OK!")</f>
        <v>OK!</v>
      </c>
      <c r="G180" s="407" t="str">
        <f t="shared" si="642"/>
        <v>OK!</v>
      </c>
      <c r="H180" s="407" t="str">
        <f t="shared" si="643"/>
        <v>OK!</v>
      </c>
      <c r="I180" s="407" t="str">
        <f t="shared" si="644"/>
        <v>OK!</v>
      </c>
      <c r="J180" s="407" t="str">
        <f t="shared" si="645"/>
        <v>OK!</v>
      </c>
      <c r="K180" s="407" t="str">
        <f t="shared" si="646"/>
        <v>OK!</v>
      </c>
      <c r="L180" s="407" t="str">
        <f t="shared" si="647"/>
        <v>OK!</v>
      </c>
      <c r="M180" s="407" t="str">
        <f t="shared" si="648"/>
        <v>OK!</v>
      </c>
      <c r="N180" s="407" t="str">
        <f t="shared" si="649"/>
        <v>OK!</v>
      </c>
      <c r="O180" s="407" t="str">
        <f t="shared" si="650"/>
        <v>OK!</v>
      </c>
      <c r="P180" s="407" t="str">
        <f t="shared" si="651"/>
        <v>OK!</v>
      </c>
      <c r="Q180" s="407" t="str">
        <f t="shared" si="652"/>
        <v>OK!</v>
      </c>
      <c r="R180" s="407" t="str">
        <f t="shared" si="653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7" t="str">
        <f>'(B3) Struktura Funksionale'!B55</f>
        <v>04760</v>
      </c>
      <c r="B181" s="891" t="str">
        <f>'(B3) Struktura Funksionale'!C55</f>
        <v>Zhvillimi i turizmit</v>
      </c>
      <c r="C181" s="892"/>
      <c r="D181" s="892"/>
      <c r="E181" s="893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7" t="str">
        <f t="shared" ref="F182:F184" si="656">IF(C182&lt;0,"STOPP!","OK!")</f>
        <v>OK!</v>
      </c>
      <c r="G182" s="407" t="str">
        <f t="shared" ref="G182:G186" si="657">IF(D182&lt;0,"STOPP!","OK!")</f>
        <v>OK!</v>
      </c>
      <c r="H182" s="407" t="str">
        <f t="shared" ref="H182:H186" si="658">IF(E182&lt;0,"STOPP!","OK!")</f>
        <v>OK!</v>
      </c>
      <c r="I182" s="407" t="str">
        <f t="shared" ref="I182:I186" si="659">IF(F182&lt;0,"STOPP!","OK!")</f>
        <v>OK!</v>
      </c>
      <c r="J182" s="407" t="str">
        <f t="shared" ref="J182:J186" si="660">IF(G182&lt;0,"STOPP!","OK!")</f>
        <v>OK!</v>
      </c>
      <c r="K182" s="407" t="str">
        <f t="shared" ref="K182:K186" si="661">IF(H182&lt;0,"STOPP!","OK!")</f>
        <v>OK!</v>
      </c>
      <c r="L182" s="407" t="str">
        <f t="shared" ref="L182:L186" si="662">IF(I182&lt;0,"STOPP!","OK!")</f>
        <v>OK!</v>
      </c>
      <c r="M182" s="407" t="str">
        <f t="shared" ref="M182:M186" si="663">IF(J182&lt;0,"STOPP!","OK!")</f>
        <v>OK!</v>
      </c>
      <c r="N182" s="407" t="str">
        <f t="shared" ref="N182:N186" si="664">IF(K182&lt;0,"STOPP!","OK!")</f>
        <v>OK!</v>
      </c>
      <c r="O182" s="407" t="str">
        <f t="shared" ref="O182:O186" si="665">IF(L182&lt;0,"STOPP!","OK!")</f>
        <v>OK!</v>
      </c>
      <c r="P182" s="407" t="str">
        <f t="shared" ref="P182:P186" si="666">IF(M182&lt;0,"STOPP!","OK!")</f>
        <v>OK!</v>
      </c>
      <c r="Q182" s="407" t="str">
        <f t="shared" ref="Q182:Q186" si="667">IF(N182&lt;0,"STOPP!","OK!")</f>
        <v>OK!</v>
      </c>
      <c r="R182" s="407" t="str">
        <f t="shared" ref="R182:R186" si="668">IF(O182&lt;0,"STOPP!","OK!")</f>
        <v>OK!</v>
      </c>
      <c r="S182" s="407" t="str">
        <f t="shared" ref="S182:S184" si="669">IF(D182&lt;0,"STOPP!","OK!")</f>
        <v>OK!</v>
      </c>
      <c r="T182" s="407" t="str">
        <f t="shared" ref="T182:T184" si="670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7" t="str">
        <f t="shared" si="656"/>
        <v>OK!</v>
      </c>
      <c r="G183" s="407" t="str">
        <f t="shared" si="657"/>
        <v>OK!</v>
      </c>
      <c r="H183" s="407" t="str">
        <f t="shared" si="658"/>
        <v>OK!</v>
      </c>
      <c r="I183" s="407" t="str">
        <f t="shared" si="659"/>
        <v>OK!</v>
      </c>
      <c r="J183" s="407" t="str">
        <f t="shared" si="660"/>
        <v>OK!</v>
      </c>
      <c r="K183" s="407" t="str">
        <f t="shared" si="661"/>
        <v>OK!</v>
      </c>
      <c r="L183" s="407" t="str">
        <f t="shared" si="662"/>
        <v>OK!</v>
      </c>
      <c r="M183" s="407" t="str">
        <f t="shared" si="663"/>
        <v>OK!</v>
      </c>
      <c r="N183" s="407" t="str">
        <f t="shared" si="664"/>
        <v>OK!</v>
      </c>
      <c r="O183" s="407" t="str">
        <f t="shared" si="665"/>
        <v>OK!</v>
      </c>
      <c r="P183" s="407" t="str">
        <f t="shared" si="666"/>
        <v>OK!</v>
      </c>
      <c r="Q183" s="407" t="str">
        <f t="shared" si="667"/>
        <v>OK!</v>
      </c>
      <c r="R183" s="407" t="str">
        <f t="shared" si="668"/>
        <v>OK!</v>
      </c>
      <c r="S183" s="407" t="str">
        <f t="shared" si="669"/>
        <v>OK!</v>
      </c>
      <c r="T183" s="407" t="str">
        <f t="shared" si="670"/>
        <v>OK!</v>
      </c>
    </row>
    <row r="184" spans="1:20" x14ac:dyDescent="0.15">
      <c r="A184" s="565" t="str">
        <f>A$10</f>
        <v>Shpenzimet kapitale</v>
      </c>
      <c r="B184" s="566"/>
      <c r="C184" s="563">
        <f>C185-C182-C183</f>
        <v>0</v>
      </c>
      <c r="D184" s="561">
        <f>D185-D182-D183</f>
        <v>0</v>
      </c>
      <c r="E184" s="561">
        <f>E185-E182-E183</f>
        <v>0</v>
      </c>
      <c r="F184" s="407" t="str">
        <f t="shared" si="656"/>
        <v>OK!</v>
      </c>
      <c r="G184" s="407" t="str">
        <f t="shared" si="657"/>
        <v>OK!</v>
      </c>
      <c r="H184" s="407" t="str">
        <f t="shared" si="658"/>
        <v>OK!</v>
      </c>
      <c r="I184" s="407" t="str">
        <f t="shared" si="659"/>
        <v>OK!</v>
      </c>
      <c r="J184" s="407" t="str">
        <f t="shared" si="660"/>
        <v>OK!</v>
      </c>
      <c r="K184" s="407" t="str">
        <f t="shared" si="661"/>
        <v>OK!</v>
      </c>
      <c r="L184" s="407" t="str">
        <f t="shared" si="662"/>
        <v>OK!</v>
      </c>
      <c r="M184" s="407" t="str">
        <f t="shared" si="663"/>
        <v>OK!</v>
      </c>
      <c r="N184" s="407" t="str">
        <f t="shared" si="664"/>
        <v>OK!</v>
      </c>
      <c r="O184" s="407" t="str">
        <f t="shared" si="665"/>
        <v>OK!</v>
      </c>
      <c r="P184" s="407" t="str">
        <f t="shared" si="666"/>
        <v>OK!</v>
      </c>
      <c r="Q184" s="407" t="str">
        <f t="shared" si="667"/>
        <v>OK!</v>
      </c>
      <c r="R184" s="407" t="str">
        <f t="shared" si="668"/>
        <v>OK!</v>
      </c>
      <c r="S184" s="407" t="str">
        <f t="shared" si="669"/>
        <v>OK!</v>
      </c>
      <c r="T184" s="407" t="str">
        <f t="shared" si="670"/>
        <v>OK!</v>
      </c>
    </row>
    <row r="185" spans="1:20" x14ac:dyDescent="0.15">
      <c r="A185" s="555" t="str">
        <f>A$11</f>
        <v>Tavanet e përgjithshme</v>
      </c>
      <c r="B185" s="556"/>
      <c r="C185" s="564"/>
      <c r="D185" s="562"/>
      <c r="E185" s="562"/>
      <c r="F185" s="407" t="str">
        <f>IF(C185&lt;0,"STOPP!","OK!")</f>
        <v>OK!</v>
      </c>
      <c r="G185" s="407" t="str">
        <f t="shared" si="657"/>
        <v>OK!</v>
      </c>
      <c r="H185" s="407" t="str">
        <f t="shared" si="658"/>
        <v>OK!</v>
      </c>
      <c r="I185" s="407" t="str">
        <f t="shared" si="659"/>
        <v>OK!</v>
      </c>
      <c r="J185" s="407" t="str">
        <f t="shared" si="660"/>
        <v>OK!</v>
      </c>
      <c r="K185" s="407" t="str">
        <f t="shared" si="661"/>
        <v>OK!</v>
      </c>
      <c r="L185" s="407" t="str">
        <f t="shared" si="662"/>
        <v>OK!</v>
      </c>
      <c r="M185" s="407" t="str">
        <f t="shared" si="663"/>
        <v>OK!</v>
      </c>
      <c r="N185" s="407" t="str">
        <f t="shared" si="664"/>
        <v>OK!</v>
      </c>
      <c r="O185" s="407" t="str">
        <f t="shared" si="665"/>
        <v>OK!</v>
      </c>
      <c r="P185" s="407" t="str">
        <f t="shared" si="666"/>
        <v>OK!</v>
      </c>
      <c r="Q185" s="407" t="str">
        <f t="shared" si="667"/>
        <v>OK!</v>
      </c>
      <c r="R185" s="407" t="str">
        <f t="shared" si="668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7" t="str">
        <f>A$12</f>
        <v>Angazhimet kujtesë</v>
      </c>
      <c r="B186" s="563"/>
      <c r="C186" s="563">
        <f>'(C5) Angazhimet'!D62</f>
        <v>0</v>
      </c>
      <c r="D186" s="563">
        <f>'(C5) Angazhimet'!E62</f>
        <v>0</v>
      </c>
      <c r="E186" s="563">
        <f>'(C5) Angazhimet'!F62</f>
        <v>0</v>
      </c>
      <c r="F186" s="407" t="str">
        <f>IF(C186&gt;C185,"STOPP!","OK!")</f>
        <v>OK!</v>
      </c>
      <c r="G186" s="407" t="str">
        <f t="shared" si="657"/>
        <v>OK!</v>
      </c>
      <c r="H186" s="407" t="str">
        <f t="shared" si="658"/>
        <v>OK!</v>
      </c>
      <c r="I186" s="407" t="str">
        <f t="shared" si="659"/>
        <v>OK!</v>
      </c>
      <c r="J186" s="407" t="str">
        <f t="shared" si="660"/>
        <v>OK!</v>
      </c>
      <c r="K186" s="407" t="str">
        <f t="shared" si="661"/>
        <v>OK!</v>
      </c>
      <c r="L186" s="407" t="str">
        <f t="shared" si="662"/>
        <v>OK!</v>
      </c>
      <c r="M186" s="407" t="str">
        <f t="shared" si="663"/>
        <v>OK!</v>
      </c>
      <c r="N186" s="407" t="str">
        <f t="shared" si="664"/>
        <v>OK!</v>
      </c>
      <c r="O186" s="407" t="str">
        <f t="shared" si="665"/>
        <v>OK!</v>
      </c>
      <c r="P186" s="407" t="str">
        <f t="shared" si="666"/>
        <v>OK!</v>
      </c>
      <c r="Q186" s="407" t="str">
        <f t="shared" si="667"/>
        <v>OK!</v>
      </c>
      <c r="R186" s="407" t="str">
        <f t="shared" si="668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5" t="str">
        <f>'(B2) Struktura Organizative'!A32</f>
        <v>Nënfunksioni 10</v>
      </c>
      <c r="B187" s="860" t="str">
        <f>'(B2) Struktura Organizative'!B32</f>
        <v>051 Menaxhimi i i mbetjeve</v>
      </c>
      <c r="C187" s="860"/>
      <c r="D187" s="860"/>
      <c r="E187" s="860"/>
      <c r="G187" s="312">
        <f>C191</f>
        <v>23610</v>
      </c>
      <c r="H187" s="312">
        <f t="shared" ref="H187" si="671">D191</f>
        <v>24610</v>
      </c>
      <c r="I187" s="312">
        <f t="shared" ref="I187" si="672">E191</f>
        <v>24110</v>
      </c>
      <c r="J187" s="312">
        <f>C188</f>
        <v>22600</v>
      </c>
      <c r="K187" s="312">
        <f t="shared" ref="K187" si="673">D188</f>
        <v>23600</v>
      </c>
      <c r="L187" s="312">
        <f t="shared" ref="L187" si="674">E188</f>
        <v>23100</v>
      </c>
      <c r="M187" s="312">
        <f>C189</f>
        <v>1010</v>
      </c>
      <c r="N187" s="312">
        <f t="shared" ref="N187" si="675">D189</f>
        <v>1010</v>
      </c>
      <c r="O187" s="312">
        <f t="shared" ref="O187" si="676">E189</f>
        <v>1010</v>
      </c>
      <c r="P187" s="312">
        <f>C190</f>
        <v>0</v>
      </c>
      <c r="Q187" s="312">
        <f t="shared" ref="Q187" si="677">D190</f>
        <v>0</v>
      </c>
      <c r="R187" s="312">
        <f t="shared" ref="R187" si="678">E190</f>
        <v>0</v>
      </c>
    </row>
    <row r="188" spans="1:20" x14ac:dyDescent="0.15">
      <c r="A188" s="286" t="str">
        <f>A$8</f>
        <v>Pagat dhe sigurimet shoqërore</v>
      </c>
      <c r="B188" s="286"/>
      <c r="C188" s="563">
        <f>C194</f>
        <v>22600</v>
      </c>
      <c r="D188" s="563">
        <f t="shared" ref="D188:E188" si="679">D194</f>
        <v>23600</v>
      </c>
      <c r="E188" s="563">
        <f t="shared" si="679"/>
        <v>23100</v>
      </c>
      <c r="F188" s="407" t="str">
        <f t="shared" ref="F188:F190" si="680">IF(C188&lt;0,"STOPP!","OK!")</f>
        <v>OK!</v>
      </c>
      <c r="G188" s="407" t="str">
        <f t="shared" ref="G188:G190" si="681">IF(D188&lt;0,"STOPP!","OK!")</f>
        <v>OK!</v>
      </c>
      <c r="H188" s="407" t="str">
        <f t="shared" ref="H188:H190" si="682">IF(E188&lt;0,"STOPP!","OK!")</f>
        <v>OK!</v>
      </c>
      <c r="I188" s="407" t="str">
        <f t="shared" ref="I188:I190" si="683">IF(F188&lt;0,"STOPP!","OK!")</f>
        <v>OK!</v>
      </c>
      <c r="J188" s="407" t="str">
        <f t="shared" ref="J188:J190" si="684">IF(G188&lt;0,"STOPP!","OK!")</f>
        <v>OK!</v>
      </c>
      <c r="K188" s="407" t="str">
        <f t="shared" ref="K188:K190" si="685">IF(H188&lt;0,"STOPP!","OK!")</f>
        <v>OK!</v>
      </c>
      <c r="L188" s="407" t="str">
        <f t="shared" ref="L188:L190" si="686">IF(I188&lt;0,"STOPP!","OK!")</f>
        <v>OK!</v>
      </c>
      <c r="M188" s="407" t="str">
        <f t="shared" ref="M188:M190" si="687">IF(J188&lt;0,"STOPP!","OK!")</f>
        <v>OK!</v>
      </c>
      <c r="N188" s="407" t="str">
        <f t="shared" ref="N188:N190" si="688">IF(K188&lt;0,"STOPP!","OK!")</f>
        <v>OK!</v>
      </c>
      <c r="O188" s="407" t="str">
        <f t="shared" ref="O188:O190" si="689">IF(L188&lt;0,"STOPP!","OK!")</f>
        <v>OK!</v>
      </c>
      <c r="P188" s="407" t="str">
        <f t="shared" ref="P188:P190" si="690">IF(M188&lt;0,"STOPP!","OK!")</f>
        <v>OK!</v>
      </c>
      <c r="Q188" s="407" t="str">
        <f t="shared" ref="Q188:Q190" si="691">IF(N188&lt;0,"STOPP!","OK!")</f>
        <v>OK!</v>
      </c>
      <c r="R188" s="407" t="str">
        <f t="shared" ref="R188:R190" si="692">IF(O188&lt;0,"STOPP!","OK!")</f>
        <v>OK!</v>
      </c>
      <c r="S188" s="407" t="str">
        <f t="shared" ref="S188:S190" si="693">IF(D188&lt;0,"STOPP!","OK!")</f>
        <v>OK!</v>
      </c>
      <c r="T188" s="407" t="str">
        <f t="shared" ref="T188:T190" si="694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3">
        <f>C195</f>
        <v>1010</v>
      </c>
      <c r="D189" s="563">
        <f t="shared" ref="D189:E189" si="695">D195</f>
        <v>1010</v>
      </c>
      <c r="E189" s="563">
        <f t="shared" si="695"/>
        <v>1010</v>
      </c>
      <c r="F189" s="407" t="str">
        <f t="shared" si="680"/>
        <v>OK!</v>
      </c>
      <c r="G189" s="407" t="str">
        <f t="shared" si="681"/>
        <v>OK!</v>
      </c>
      <c r="H189" s="407" t="str">
        <f t="shared" si="682"/>
        <v>OK!</v>
      </c>
      <c r="I189" s="407" t="str">
        <f t="shared" si="683"/>
        <v>OK!</v>
      </c>
      <c r="J189" s="407" t="str">
        <f t="shared" si="684"/>
        <v>OK!</v>
      </c>
      <c r="K189" s="407" t="str">
        <f t="shared" si="685"/>
        <v>OK!</v>
      </c>
      <c r="L189" s="407" t="str">
        <f t="shared" si="686"/>
        <v>OK!</v>
      </c>
      <c r="M189" s="407" t="str">
        <f t="shared" si="687"/>
        <v>OK!</v>
      </c>
      <c r="N189" s="407" t="str">
        <f t="shared" si="688"/>
        <v>OK!</v>
      </c>
      <c r="O189" s="407" t="str">
        <f t="shared" si="689"/>
        <v>OK!</v>
      </c>
      <c r="P189" s="407" t="str">
        <f t="shared" si="690"/>
        <v>OK!</v>
      </c>
      <c r="Q189" s="407" t="str">
        <f t="shared" si="691"/>
        <v>OK!</v>
      </c>
      <c r="R189" s="407" t="str">
        <f t="shared" si="692"/>
        <v>OK!</v>
      </c>
      <c r="S189" s="407" t="str">
        <f t="shared" si="693"/>
        <v>OK!</v>
      </c>
      <c r="T189" s="407" t="str">
        <f t="shared" si="694"/>
        <v>OK!</v>
      </c>
    </row>
    <row r="190" spans="1:20" x14ac:dyDescent="0.15">
      <c r="A190" s="565" t="str">
        <f>A$10</f>
        <v>Shpenzimet kapitale</v>
      </c>
      <c r="B190" s="566"/>
      <c r="C190" s="563">
        <f>C191-C188-C189</f>
        <v>0</v>
      </c>
      <c r="D190" s="561">
        <f>D191-D188-D189</f>
        <v>0</v>
      </c>
      <c r="E190" s="561">
        <f>E191-E188-E189</f>
        <v>0</v>
      </c>
      <c r="F190" s="407" t="str">
        <f t="shared" si="680"/>
        <v>OK!</v>
      </c>
      <c r="G190" s="407" t="str">
        <f t="shared" si="681"/>
        <v>OK!</v>
      </c>
      <c r="H190" s="407" t="str">
        <f t="shared" si="682"/>
        <v>OK!</v>
      </c>
      <c r="I190" s="407" t="str">
        <f t="shared" si="683"/>
        <v>OK!</v>
      </c>
      <c r="J190" s="407" t="str">
        <f t="shared" si="684"/>
        <v>OK!</v>
      </c>
      <c r="K190" s="407" t="str">
        <f t="shared" si="685"/>
        <v>OK!</v>
      </c>
      <c r="L190" s="407" t="str">
        <f t="shared" si="686"/>
        <v>OK!</v>
      </c>
      <c r="M190" s="407" t="str">
        <f t="shared" si="687"/>
        <v>OK!</v>
      </c>
      <c r="N190" s="407" t="str">
        <f t="shared" si="688"/>
        <v>OK!</v>
      </c>
      <c r="O190" s="407" t="str">
        <f t="shared" si="689"/>
        <v>OK!</v>
      </c>
      <c r="P190" s="407" t="str">
        <f t="shared" si="690"/>
        <v>OK!</v>
      </c>
      <c r="Q190" s="407" t="str">
        <f t="shared" si="691"/>
        <v>OK!</v>
      </c>
      <c r="R190" s="407" t="str">
        <f t="shared" si="692"/>
        <v>OK!</v>
      </c>
      <c r="S190" s="407" t="str">
        <f t="shared" si="693"/>
        <v>OK!</v>
      </c>
      <c r="T190" s="407" t="str">
        <f t="shared" si="694"/>
        <v>OK!</v>
      </c>
    </row>
    <row r="191" spans="1:20" x14ac:dyDescent="0.15">
      <c r="A191" s="555" t="str">
        <f>A$11</f>
        <v>Tavanet e përgjithshme</v>
      </c>
      <c r="B191" s="556"/>
      <c r="C191" s="563">
        <f>C197</f>
        <v>23610</v>
      </c>
      <c r="D191" s="563">
        <f t="shared" ref="D191:E191" si="696">D197</f>
        <v>24610</v>
      </c>
      <c r="E191" s="563">
        <f t="shared" si="696"/>
        <v>24110</v>
      </c>
      <c r="F191" s="407" t="str">
        <f>IF(C191&lt;0,"STOPP!","OK!")</f>
        <v>OK!</v>
      </c>
      <c r="G191" s="407" t="str">
        <f t="shared" ref="G191:G192" si="697">IF(D191&lt;0,"STOPP!","OK!")</f>
        <v>OK!</v>
      </c>
      <c r="H191" s="407" t="str">
        <f t="shared" ref="H191:H192" si="698">IF(E191&lt;0,"STOPP!","OK!")</f>
        <v>OK!</v>
      </c>
      <c r="I191" s="407" t="str">
        <f t="shared" ref="I191:I192" si="699">IF(F191&lt;0,"STOPP!","OK!")</f>
        <v>OK!</v>
      </c>
      <c r="J191" s="407" t="str">
        <f t="shared" ref="J191:J192" si="700">IF(G191&lt;0,"STOPP!","OK!")</f>
        <v>OK!</v>
      </c>
      <c r="K191" s="407" t="str">
        <f t="shared" ref="K191:K192" si="701">IF(H191&lt;0,"STOPP!","OK!")</f>
        <v>OK!</v>
      </c>
      <c r="L191" s="407" t="str">
        <f t="shared" ref="L191:L192" si="702">IF(I191&lt;0,"STOPP!","OK!")</f>
        <v>OK!</v>
      </c>
      <c r="M191" s="407" t="str">
        <f t="shared" ref="M191:M192" si="703">IF(J191&lt;0,"STOPP!","OK!")</f>
        <v>OK!</v>
      </c>
      <c r="N191" s="407" t="str">
        <f t="shared" ref="N191:N192" si="704">IF(K191&lt;0,"STOPP!","OK!")</f>
        <v>OK!</v>
      </c>
      <c r="O191" s="407" t="str">
        <f t="shared" ref="O191:O192" si="705">IF(L191&lt;0,"STOPP!","OK!")</f>
        <v>OK!</v>
      </c>
      <c r="P191" s="407" t="str">
        <f t="shared" ref="P191:P192" si="706">IF(M191&lt;0,"STOPP!","OK!")</f>
        <v>OK!</v>
      </c>
      <c r="Q191" s="407" t="str">
        <f t="shared" ref="Q191:Q192" si="707">IF(N191&lt;0,"STOPP!","OK!")</f>
        <v>OK!</v>
      </c>
      <c r="R191" s="407" t="str">
        <f t="shared" ref="R191:R192" si="708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7" t="str">
        <f>A$12</f>
        <v>Angazhimet kujtesë</v>
      </c>
      <c r="B192" s="563"/>
      <c r="C192" s="563">
        <f>'(C5) Angazhimet'!D70</f>
        <v>0</v>
      </c>
      <c r="D192" s="561">
        <f>'(C5) Angazhimet'!E70</f>
        <v>0</v>
      </c>
      <c r="E192" s="561">
        <f>'(C5) Angazhimet'!F70</f>
        <v>0</v>
      </c>
      <c r="F192" s="407" t="str">
        <f>IF(C192&gt;C191,"STOPP!","OK!")</f>
        <v>OK!</v>
      </c>
      <c r="G192" s="407" t="str">
        <f t="shared" si="697"/>
        <v>OK!</v>
      </c>
      <c r="H192" s="407" t="str">
        <f t="shared" si="698"/>
        <v>OK!</v>
      </c>
      <c r="I192" s="407" t="str">
        <f t="shared" si="699"/>
        <v>OK!</v>
      </c>
      <c r="J192" s="407" t="str">
        <f t="shared" si="700"/>
        <v>OK!</v>
      </c>
      <c r="K192" s="407" t="str">
        <f t="shared" si="701"/>
        <v>OK!</v>
      </c>
      <c r="L192" s="407" t="str">
        <f t="shared" si="702"/>
        <v>OK!</v>
      </c>
      <c r="M192" s="407" t="str">
        <f t="shared" si="703"/>
        <v>OK!</v>
      </c>
      <c r="N192" s="407" t="str">
        <f t="shared" si="704"/>
        <v>OK!</v>
      </c>
      <c r="O192" s="407" t="str">
        <f t="shared" si="705"/>
        <v>OK!</v>
      </c>
      <c r="P192" s="407" t="str">
        <f t="shared" si="706"/>
        <v>OK!</v>
      </c>
      <c r="Q192" s="407" t="str">
        <f t="shared" si="707"/>
        <v>OK!</v>
      </c>
      <c r="R192" s="407" t="str">
        <f t="shared" si="708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699" t="str">
        <f>'(B3) Struktura Funksionale'!B60</f>
        <v>05100</v>
      </c>
      <c r="B193" s="897" t="str">
        <f>'(B3) Struktura Funksionale'!C60</f>
        <v>Menaxhimi i mbetjeve</v>
      </c>
      <c r="C193" s="897"/>
      <c r="D193" s="897"/>
      <c r="E193" s="897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>
        <f>19366+3234</f>
        <v>22600</v>
      </c>
      <c r="D194" s="287">
        <f>19366+3234+500+500</f>
        <v>23600</v>
      </c>
      <c r="E194" s="287">
        <f>19366+3234+500</f>
        <v>23100</v>
      </c>
      <c r="F194" s="407" t="str">
        <f t="shared" ref="F194:F196" si="709">IF(C194&lt;0,"STOPP!","OK!")</f>
        <v>OK!</v>
      </c>
      <c r="G194" s="407" t="str">
        <f t="shared" ref="G194:G198" si="710">IF(D194&lt;0,"STOPP!","OK!")</f>
        <v>OK!</v>
      </c>
      <c r="H194" s="407" t="str">
        <f t="shared" ref="H194:H198" si="711">IF(E194&lt;0,"STOPP!","OK!")</f>
        <v>OK!</v>
      </c>
      <c r="I194" s="407" t="str">
        <f t="shared" ref="I194:I198" si="712">IF(F194&lt;0,"STOPP!","OK!")</f>
        <v>OK!</v>
      </c>
      <c r="J194" s="407" t="str">
        <f t="shared" ref="J194:J198" si="713">IF(G194&lt;0,"STOPP!","OK!")</f>
        <v>OK!</v>
      </c>
      <c r="K194" s="407" t="str">
        <f t="shared" ref="K194:K198" si="714">IF(H194&lt;0,"STOPP!","OK!")</f>
        <v>OK!</v>
      </c>
      <c r="L194" s="407" t="str">
        <f t="shared" ref="L194:L198" si="715">IF(I194&lt;0,"STOPP!","OK!")</f>
        <v>OK!</v>
      </c>
      <c r="M194" s="407" t="str">
        <f t="shared" ref="M194:M198" si="716">IF(J194&lt;0,"STOPP!","OK!")</f>
        <v>OK!</v>
      </c>
      <c r="N194" s="407" t="str">
        <f t="shared" ref="N194:N198" si="717">IF(K194&lt;0,"STOPP!","OK!")</f>
        <v>OK!</v>
      </c>
      <c r="O194" s="407" t="str">
        <f t="shared" ref="O194:O198" si="718">IF(L194&lt;0,"STOPP!","OK!")</f>
        <v>OK!</v>
      </c>
      <c r="P194" s="407" t="str">
        <f t="shared" ref="P194:P198" si="719">IF(M194&lt;0,"STOPP!","OK!")</f>
        <v>OK!</v>
      </c>
      <c r="Q194" s="407" t="str">
        <f t="shared" ref="Q194:Q198" si="720">IF(N194&lt;0,"STOPP!","OK!")</f>
        <v>OK!</v>
      </c>
      <c r="R194" s="407" t="str">
        <f t="shared" ref="R194:R198" si="721">IF(O194&lt;0,"STOPP!","OK!")</f>
        <v>OK!</v>
      </c>
      <c r="S194" s="407" t="str">
        <f t="shared" ref="S194:S196" si="722">IF(D194&lt;0,"STOPP!","OK!")</f>
        <v>OK!</v>
      </c>
      <c r="T194" s="407" t="str">
        <f t="shared" ref="T194:T196" si="723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f>960+50</f>
        <v>1010</v>
      </c>
      <c r="D195" s="288">
        <f t="shared" ref="D195:E195" si="724">960+50</f>
        <v>1010</v>
      </c>
      <c r="E195" s="288">
        <f t="shared" si="724"/>
        <v>1010</v>
      </c>
      <c r="F195" s="407" t="str">
        <f t="shared" si="709"/>
        <v>OK!</v>
      </c>
      <c r="G195" s="407" t="str">
        <f t="shared" si="710"/>
        <v>OK!</v>
      </c>
      <c r="H195" s="407" t="str">
        <f t="shared" si="711"/>
        <v>OK!</v>
      </c>
      <c r="I195" s="407" t="str">
        <f t="shared" si="712"/>
        <v>OK!</v>
      </c>
      <c r="J195" s="407" t="str">
        <f t="shared" si="713"/>
        <v>OK!</v>
      </c>
      <c r="K195" s="407" t="str">
        <f t="shared" si="714"/>
        <v>OK!</v>
      </c>
      <c r="L195" s="407" t="str">
        <f t="shared" si="715"/>
        <v>OK!</v>
      </c>
      <c r="M195" s="407" t="str">
        <f t="shared" si="716"/>
        <v>OK!</v>
      </c>
      <c r="N195" s="407" t="str">
        <f t="shared" si="717"/>
        <v>OK!</v>
      </c>
      <c r="O195" s="407" t="str">
        <f t="shared" si="718"/>
        <v>OK!</v>
      </c>
      <c r="P195" s="407" t="str">
        <f t="shared" si="719"/>
        <v>OK!</v>
      </c>
      <c r="Q195" s="407" t="str">
        <f t="shared" si="720"/>
        <v>OK!</v>
      </c>
      <c r="R195" s="407" t="str">
        <f t="shared" si="721"/>
        <v>OK!</v>
      </c>
      <c r="S195" s="407" t="str">
        <f t="shared" si="722"/>
        <v>OK!</v>
      </c>
      <c r="T195" s="407" t="str">
        <f t="shared" si="723"/>
        <v>OK!</v>
      </c>
    </row>
    <row r="196" spans="1:20" x14ac:dyDescent="0.15">
      <c r="A196" s="565" t="str">
        <f>A$10</f>
        <v>Shpenzimet kapitale</v>
      </c>
      <c r="B196" s="566"/>
      <c r="C196" s="563">
        <f>C197-C194-C195</f>
        <v>0</v>
      </c>
      <c r="D196" s="561">
        <f>D197-D194-D195</f>
        <v>0</v>
      </c>
      <c r="E196" s="561">
        <f>E197-E194-E195</f>
        <v>0</v>
      </c>
      <c r="F196" s="407" t="str">
        <f t="shared" si="709"/>
        <v>OK!</v>
      </c>
      <c r="G196" s="407" t="str">
        <f t="shared" si="710"/>
        <v>OK!</v>
      </c>
      <c r="H196" s="407" t="str">
        <f t="shared" si="711"/>
        <v>OK!</v>
      </c>
      <c r="I196" s="407" t="str">
        <f t="shared" si="712"/>
        <v>OK!</v>
      </c>
      <c r="J196" s="407" t="str">
        <f t="shared" si="713"/>
        <v>OK!</v>
      </c>
      <c r="K196" s="407" t="str">
        <f t="shared" si="714"/>
        <v>OK!</v>
      </c>
      <c r="L196" s="407" t="str">
        <f t="shared" si="715"/>
        <v>OK!</v>
      </c>
      <c r="M196" s="407" t="str">
        <f t="shared" si="716"/>
        <v>OK!</v>
      </c>
      <c r="N196" s="407" t="str">
        <f t="shared" si="717"/>
        <v>OK!</v>
      </c>
      <c r="O196" s="407" t="str">
        <f t="shared" si="718"/>
        <v>OK!</v>
      </c>
      <c r="P196" s="407" t="str">
        <f t="shared" si="719"/>
        <v>OK!</v>
      </c>
      <c r="Q196" s="407" t="str">
        <f t="shared" si="720"/>
        <v>OK!</v>
      </c>
      <c r="R196" s="407" t="str">
        <f t="shared" si="721"/>
        <v>OK!</v>
      </c>
      <c r="S196" s="407" t="str">
        <f t="shared" si="722"/>
        <v>OK!</v>
      </c>
      <c r="T196" s="407" t="str">
        <f t="shared" si="723"/>
        <v>OK!</v>
      </c>
    </row>
    <row r="197" spans="1:20" x14ac:dyDescent="0.15">
      <c r="A197" s="555" t="str">
        <f>A$11</f>
        <v>Tavanet e përgjithshme</v>
      </c>
      <c r="B197" s="556"/>
      <c r="C197" s="564">
        <v>23610</v>
      </c>
      <c r="D197" s="564">
        <f>23610+500+500</f>
        <v>24610</v>
      </c>
      <c r="E197" s="564">
        <f>23610+500</f>
        <v>24110</v>
      </c>
      <c r="F197" s="407" t="str">
        <f>IF(C197&lt;0,"STOPP!","OK!")</f>
        <v>OK!</v>
      </c>
      <c r="G197" s="407" t="str">
        <f t="shared" si="710"/>
        <v>OK!</v>
      </c>
      <c r="H197" s="407" t="str">
        <f t="shared" si="711"/>
        <v>OK!</v>
      </c>
      <c r="I197" s="407" t="str">
        <f t="shared" si="712"/>
        <v>OK!</v>
      </c>
      <c r="J197" s="407" t="str">
        <f t="shared" si="713"/>
        <v>OK!</v>
      </c>
      <c r="K197" s="407" t="str">
        <f t="shared" si="714"/>
        <v>OK!</v>
      </c>
      <c r="L197" s="407" t="str">
        <f t="shared" si="715"/>
        <v>OK!</v>
      </c>
      <c r="M197" s="407" t="str">
        <f t="shared" si="716"/>
        <v>OK!</v>
      </c>
      <c r="N197" s="407" t="str">
        <f t="shared" si="717"/>
        <v>OK!</v>
      </c>
      <c r="O197" s="407" t="str">
        <f t="shared" si="718"/>
        <v>OK!</v>
      </c>
      <c r="P197" s="407" t="str">
        <f t="shared" si="719"/>
        <v>OK!</v>
      </c>
      <c r="Q197" s="407" t="str">
        <f t="shared" si="720"/>
        <v>OK!</v>
      </c>
      <c r="R197" s="407" t="str">
        <f t="shared" si="721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7" t="str">
        <f>A$12</f>
        <v>Angazhimet kujtesë</v>
      </c>
      <c r="B198" s="563"/>
      <c r="C198" s="563">
        <f>'(C5) Angazhimet'!D67</f>
        <v>0</v>
      </c>
      <c r="D198" s="563">
        <f>'(C5) Angazhimet'!E67</f>
        <v>0</v>
      </c>
      <c r="E198" s="563">
        <f>'(C5) Angazhimet'!F67</f>
        <v>0</v>
      </c>
      <c r="F198" s="407" t="str">
        <f>IF(C198&gt;C197,"STOPP!","OK!")</f>
        <v>OK!</v>
      </c>
      <c r="G198" s="407" t="str">
        <f t="shared" si="710"/>
        <v>OK!</v>
      </c>
      <c r="H198" s="407" t="str">
        <f t="shared" si="711"/>
        <v>OK!</v>
      </c>
      <c r="I198" s="407" t="str">
        <f t="shared" si="712"/>
        <v>OK!</v>
      </c>
      <c r="J198" s="407" t="str">
        <f t="shared" si="713"/>
        <v>OK!</v>
      </c>
      <c r="K198" s="407" t="str">
        <f t="shared" si="714"/>
        <v>OK!</v>
      </c>
      <c r="L198" s="407" t="str">
        <f t="shared" si="715"/>
        <v>OK!</v>
      </c>
      <c r="M198" s="407" t="str">
        <f t="shared" si="716"/>
        <v>OK!</v>
      </c>
      <c r="N198" s="407" t="str">
        <f t="shared" si="717"/>
        <v>OK!</v>
      </c>
      <c r="O198" s="407" t="str">
        <f t="shared" si="718"/>
        <v>OK!</v>
      </c>
      <c r="P198" s="407" t="str">
        <f t="shared" si="719"/>
        <v>OK!</v>
      </c>
      <c r="Q198" s="407" t="str">
        <f t="shared" si="720"/>
        <v>OK!</v>
      </c>
      <c r="R198" s="407" t="str">
        <f t="shared" si="721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6" t="str">
        <f>'(B2) Struktura Organizative'!A34</f>
        <v>Nënfunksioni 11</v>
      </c>
      <c r="B199" s="894" t="str">
        <f>'(B2) Struktura Organizative'!B34</f>
        <v>052 Menaxhimi i ujrave të zeza</v>
      </c>
      <c r="C199" s="895"/>
      <c r="D199" s="895"/>
      <c r="E199" s="896"/>
      <c r="G199" s="312">
        <f>C203</f>
        <v>0</v>
      </c>
      <c r="H199" s="312">
        <f t="shared" ref="H199" si="725">D203</f>
        <v>0</v>
      </c>
      <c r="I199" s="312">
        <f t="shared" ref="I199" si="726">E203</f>
        <v>0</v>
      </c>
      <c r="J199" s="312">
        <f>C200</f>
        <v>0</v>
      </c>
      <c r="K199" s="312">
        <f t="shared" ref="K199" si="727">D200</f>
        <v>0</v>
      </c>
      <c r="L199" s="312">
        <f t="shared" ref="L199" si="728">E200</f>
        <v>0</v>
      </c>
      <c r="M199" s="312">
        <f>C201</f>
        <v>0</v>
      </c>
      <c r="N199" s="312">
        <f t="shared" ref="N199" si="729">D201</f>
        <v>0</v>
      </c>
      <c r="O199" s="312">
        <f t="shared" ref="O199" si="730">E201</f>
        <v>0</v>
      </c>
      <c r="P199" s="312">
        <f>C202</f>
        <v>0</v>
      </c>
      <c r="Q199" s="312">
        <f t="shared" ref="Q199" si="731">D202</f>
        <v>0</v>
      </c>
      <c r="R199" s="312">
        <f t="shared" ref="R199" si="732">E202</f>
        <v>0</v>
      </c>
    </row>
    <row r="200" spans="1:20" x14ac:dyDescent="0.15">
      <c r="A200" s="286" t="str">
        <f>A$8</f>
        <v>Pagat dhe sigurimet shoqërore</v>
      </c>
      <c r="B200" s="286"/>
      <c r="C200" s="563">
        <f>C206</f>
        <v>0</v>
      </c>
      <c r="D200" s="563">
        <f t="shared" ref="D200:E200" si="733">D206</f>
        <v>0</v>
      </c>
      <c r="E200" s="563">
        <f t="shared" si="733"/>
        <v>0</v>
      </c>
      <c r="F200" s="407" t="str">
        <f t="shared" ref="F200:F202" si="734">IF(C200&lt;0,"STOPP!","OK!")</f>
        <v>OK!</v>
      </c>
      <c r="G200" s="407" t="str">
        <f t="shared" ref="G200:G202" si="735">IF(D200&lt;0,"STOPP!","OK!")</f>
        <v>OK!</v>
      </c>
      <c r="H200" s="407" t="str">
        <f t="shared" ref="H200:H202" si="736">IF(E200&lt;0,"STOPP!","OK!")</f>
        <v>OK!</v>
      </c>
      <c r="I200" s="407" t="str">
        <f t="shared" ref="I200:I202" si="737">IF(F200&lt;0,"STOPP!","OK!")</f>
        <v>OK!</v>
      </c>
      <c r="J200" s="407" t="str">
        <f t="shared" ref="J200:J202" si="738">IF(G200&lt;0,"STOPP!","OK!")</f>
        <v>OK!</v>
      </c>
      <c r="K200" s="407" t="str">
        <f t="shared" ref="K200:K202" si="739">IF(H200&lt;0,"STOPP!","OK!")</f>
        <v>OK!</v>
      </c>
      <c r="L200" s="407" t="str">
        <f t="shared" ref="L200:L202" si="740">IF(I200&lt;0,"STOPP!","OK!")</f>
        <v>OK!</v>
      </c>
      <c r="M200" s="407" t="str">
        <f t="shared" ref="M200:M202" si="741">IF(J200&lt;0,"STOPP!","OK!")</f>
        <v>OK!</v>
      </c>
      <c r="N200" s="407" t="str">
        <f t="shared" ref="N200:N202" si="742">IF(K200&lt;0,"STOPP!","OK!")</f>
        <v>OK!</v>
      </c>
      <c r="O200" s="407" t="str">
        <f t="shared" ref="O200:O202" si="743">IF(L200&lt;0,"STOPP!","OK!")</f>
        <v>OK!</v>
      </c>
      <c r="P200" s="407" t="str">
        <f t="shared" ref="P200:P202" si="744">IF(M200&lt;0,"STOPP!","OK!")</f>
        <v>OK!</v>
      </c>
      <c r="Q200" s="407" t="str">
        <f t="shared" ref="Q200:Q202" si="745">IF(N200&lt;0,"STOPP!","OK!")</f>
        <v>OK!</v>
      </c>
      <c r="R200" s="407" t="str">
        <f t="shared" ref="R200:R202" si="746">IF(O200&lt;0,"STOPP!","OK!")</f>
        <v>OK!</v>
      </c>
      <c r="S200" s="407" t="str">
        <f t="shared" ref="S200:S202" si="747">IF(D200&lt;0,"STOPP!","OK!")</f>
        <v>OK!</v>
      </c>
      <c r="T200" s="407" t="str">
        <f t="shared" ref="T200:T202" si="74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3">
        <f>C207</f>
        <v>0</v>
      </c>
      <c r="D201" s="563">
        <f t="shared" ref="D201:E201" si="749">D207</f>
        <v>0</v>
      </c>
      <c r="E201" s="563">
        <f t="shared" si="749"/>
        <v>0</v>
      </c>
      <c r="F201" s="407" t="str">
        <f t="shared" si="734"/>
        <v>OK!</v>
      </c>
      <c r="G201" s="407" t="str">
        <f t="shared" si="735"/>
        <v>OK!</v>
      </c>
      <c r="H201" s="407" t="str">
        <f t="shared" si="736"/>
        <v>OK!</v>
      </c>
      <c r="I201" s="407" t="str">
        <f t="shared" si="737"/>
        <v>OK!</v>
      </c>
      <c r="J201" s="407" t="str">
        <f t="shared" si="738"/>
        <v>OK!</v>
      </c>
      <c r="K201" s="407" t="str">
        <f t="shared" si="739"/>
        <v>OK!</v>
      </c>
      <c r="L201" s="407" t="str">
        <f t="shared" si="740"/>
        <v>OK!</v>
      </c>
      <c r="M201" s="407" t="str">
        <f t="shared" si="741"/>
        <v>OK!</v>
      </c>
      <c r="N201" s="407" t="str">
        <f t="shared" si="742"/>
        <v>OK!</v>
      </c>
      <c r="O201" s="407" t="str">
        <f t="shared" si="743"/>
        <v>OK!</v>
      </c>
      <c r="P201" s="407" t="str">
        <f t="shared" si="744"/>
        <v>OK!</v>
      </c>
      <c r="Q201" s="407" t="str">
        <f t="shared" si="745"/>
        <v>OK!</v>
      </c>
      <c r="R201" s="407" t="str">
        <f t="shared" si="746"/>
        <v>OK!</v>
      </c>
      <c r="S201" s="407" t="str">
        <f t="shared" si="747"/>
        <v>OK!</v>
      </c>
      <c r="T201" s="407" t="str">
        <f t="shared" si="748"/>
        <v>OK!</v>
      </c>
    </row>
    <row r="202" spans="1:20" x14ac:dyDescent="0.15">
      <c r="A202" s="565" t="str">
        <f>A$10</f>
        <v>Shpenzimet kapitale</v>
      </c>
      <c r="B202" s="566"/>
      <c r="C202" s="563">
        <f>C203-C200-C201</f>
        <v>0</v>
      </c>
      <c r="D202" s="561">
        <f>D203-D200-D201</f>
        <v>0</v>
      </c>
      <c r="E202" s="561">
        <f>E203-E200-E201</f>
        <v>0</v>
      </c>
      <c r="F202" s="407" t="str">
        <f t="shared" si="734"/>
        <v>OK!</v>
      </c>
      <c r="G202" s="407" t="str">
        <f t="shared" si="735"/>
        <v>OK!</v>
      </c>
      <c r="H202" s="407" t="str">
        <f t="shared" si="736"/>
        <v>OK!</v>
      </c>
      <c r="I202" s="407" t="str">
        <f t="shared" si="737"/>
        <v>OK!</v>
      </c>
      <c r="J202" s="407" t="str">
        <f t="shared" si="738"/>
        <v>OK!</v>
      </c>
      <c r="K202" s="407" t="str">
        <f t="shared" si="739"/>
        <v>OK!</v>
      </c>
      <c r="L202" s="407" t="str">
        <f t="shared" si="740"/>
        <v>OK!</v>
      </c>
      <c r="M202" s="407" t="str">
        <f t="shared" si="741"/>
        <v>OK!</v>
      </c>
      <c r="N202" s="407" t="str">
        <f t="shared" si="742"/>
        <v>OK!</v>
      </c>
      <c r="O202" s="407" t="str">
        <f t="shared" si="743"/>
        <v>OK!</v>
      </c>
      <c r="P202" s="407" t="str">
        <f t="shared" si="744"/>
        <v>OK!</v>
      </c>
      <c r="Q202" s="407" t="str">
        <f t="shared" si="745"/>
        <v>OK!</v>
      </c>
      <c r="R202" s="407" t="str">
        <f t="shared" si="746"/>
        <v>OK!</v>
      </c>
      <c r="S202" s="407" t="str">
        <f t="shared" si="747"/>
        <v>OK!</v>
      </c>
      <c r="T202" s="407" t="str">
        <f t="shared" si="748"/>
        <v>OK!</v>
      </c>
    </row>
    <row r="203" spans="1:20" x14ac:dyDescent="0.15">
      <c r="A203" s="555" t="str">
        <f>A$11</f>
        <v>Tavanet e përgjithshme</v>
      </c>
      <c r="B203" s="556"/>
      <c r="C203" s="563">
        <f>C209</f>
        <v>0</v>
      </c>
      <c r="D203" s="563">
        <f t="shared" ref="D203:E203" si="750">D209</f>
        <v>0</v>
      </c>
      <c r="E203" s="563">
        <f t="shared" si="750"/>
        <v>0</v>
      </c>
      <c r="F203" s="407" t="str">
        <f>IF(C203&lt;0,"STOPP!","OK!")</f>
        <v>OK!</v>
      </c>
      <c r="G203" s="407" t="str">
        <f t="shared" ref="G203:G204" si="751">IF(D203&lt;0,"STOPP!","OK!")</f>
        <v>OK!</v>
      </c>
      <c r="H203" s="407" t="str">
        <f t="shared" ref="H203:H204" si="752">IF(E203&lt;0,"STOPP!","OK!")</f>
        <v>OK!</v>
      </c>
      <c r="I203" s="407" t="str">
        <f t="shared" ref="I203:I204" si="753">IF(F203&lt;0,"STOPP!","OK!")</f>
        <v>OK!</v>
      </c>
      <c r="J203" s="407" t="str">
        <f t="shared" ref="J203:J204" si="754">IF(G203&lt;0,"STOPP!","OK!")</f>
        <v>OK!</v>
      </c>
      <c r="K203" s="407" t="str">
        <f t="shared" ref="K203:K204" si="755">IF(H203&lt;0,"STOPP!","OK!")</f>
        <v>OK!</v>
      </c>
      <c r="L203" s="407" t="str">
        <f t="shared" ref="L203:L204" si="756">IF(I203&lt;0,"STOPP!","OK!")</f>
        <v>OK!</v>
      </c>
      <c r="M203" s="407" t="str">
        <f t="shared" ref="M203:M204" si="757">IF(J203&lt;0,"STOPP!","OK!")</f>
        <v>OK!</v>
      </c>
      <c r="N203" s="407" t="str">
        <f t="shared" ref="N203:N204" si="758">IF(K203&lt;0,"STOPP!","OK!")</f>
        <v>OK!</v>
      </c>
      <c r="O203" s="407" t="str">
        <f t="shared" ref="O203:O204" si="759">IF(L203&lt;0,"STOPP!","OK!")</f>
        <v>OK!</v>
      </c>
      <c r="P203" s="407" t="str">
        <f t="shared" ref="P203:P204" si="760">IF(M203&lt;0,"STOPP!","OK!")</f>
        <v>OK!</v>
      </c>
      <c r="Q203" s="407" t="str">
        <f t="shared" ref="Q203:Q204" si="761">IF(N203&lt;0,"STOPP!","OK!")</f>
        <v>OK!</v>
      </c>
      <c r="R203" s="407" t="str">
        <f t="shared" ref="R203:R204" si="76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7" t="str">
        <f>A$12</f>
        <v>Angazhimet kujtesë</v>
      </c>
      <c r="B204" s="563"/>
      <c r="C204" s="563">
        <f>'(C5) Angazhimet'!D75</f>
        <v>0</v>
      </c>
      <c r="D204" s="561">
        <f>'(C5) Angazhimet'!E75</f>
        <v>0</v>
      </c>
      <c r="E204" s="561">
        <f>'(C5) Angazhimet'!F75</f>
        <v>0</v>
      </c>
      <c r="F204" s="407" t="str">
        <f>IF(C204&gt;C203,"STOPP!","OK!")</f>
        <v>OK!</v>
      </c>
      <c r="G204" s="407" t="str">
        <f t="shared" si="751"/>
        <v>OK!</v>
      </c>
      <c r="H204" s="407" t="str">
        <f t="shared" si="752"/>
        <v>OK!</v>
      </c>
      <c r="I204" s="407" t="str">
        <f t="shared" si="753"/>
        <v>OK!</v>
      </c>
      <c r="J204" s="407" t="str">
        <f t="shared" si="754"/>
        <v>OK!</v>
      </c>
      <c r="K204" s="407" t="str">
        <f t="shared" si="755"/>
        <v>OK!</v>
      </c>
      <c r="L204" s="407" t="str">
        <f t="shared" si="756"/>
        <v>OK!</v>
      </c>
      <c r="M204" s="407" t="str">
        <f t="shared" si="757"/>
        <v>OK!</v>
      </c>
      <c r="N204" s="407" t="str">
        <f t="shared" si="758"/>
        <v>OK!</v>
      </c>
      <c r="O204" s="407" t="str">
        <f t="shared" si="759"/>
        <v>OK!</v>
      </c>
      <c r="P204" s="407" t="str">
        <f t="shared" si="760"/>
        <v>OK!</v>
      </c>
      <c r="Q204" s="407" t="str">
        <f t="shared" si="761"/>
        <v>OK!</v>
      </c>
      <c r="R204" s="407" t="str">
        <f t="shared" si="76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7" t="str">
        <f>'(B3) Struktura Funksionale'!B64</f>
        <v>05200</v>
      </c>
      <c r="B205" s="891" t="str">
        <f>'(B3) Struktura Funksionale'!C64</f>
        <v>Menaxhimi i ujrave të zeza dhe kanalizimeve</v>
      </c>
      <c r="C205" s="892"/>
      <c r="D205" s="892"/>
      <c r="E205" s="893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7" t="str">
        <f t="shared" ref="F206:F208" si="763">IF(C206&lt;0,"STOPP!","OK!")</f>
        <v>OK!</v>
      </c>
      <c r="G206" s="407" t="str">
        <f t="shared" ref="G206:G210" si="764">IF(D206&lt;0,"STOPP!","OK!")</f>
        <v>OK!</v>
      </c>
      <c r="H206" s="407" t="str">
        <f t="shared" ref="H206:H210" si="765">IF(E206&lt;0,"STOPP!","OK!")</f>
        <v>OK!</v>
      </c>
      <c r="I206" s="407" t="str">
        <f t="shared" ref="I206:I210" si="766">IF(F206&lt;0,"STOPP!","OK!")</f>
        <v>OK!</v>
      </c>
      <c r="J206" s="407" t="str">
        <f t="shared" ref="J206:J210" si="767">IF(G206&lt;0,"STOPP!","OK!")</f>
        <v>OK!</v>
      </c>
      <c r="K206" s="407" t="str">
        <f t="shared" ref="K206:K210" si="768">IF(H206&lt;0,"STOPP!","OK!")</f>
        <v>OK!</v>
      </c>
      <c r="L206" s="407" t="str">
        <f t="shared" ref="L206:L210" si="769">IF(I206&lt;0,"STOPP!","OK!")</f>
        <v>OK!</v>
      </c>
      <c r="M206" s="407" t="str">
        <f t="shared" ref="M206:M210" si="770">IF(J206&lt;0,"STOPP!","OK!")</f>
        <v>OK!</v>
      </c>
      <c r="N206" s="407" t="str">
        <f t="shared" ref="N206:N210" si="771">IF(K206&lt;0,"STOPP!","OK!")</f>
        <v>OK!</v>
      </c>
      <c r="O206" s="407" t="str">
        <f t="shared" ref="O206:O210" si="772">IF(L206&lt;0,"STOPP!","OK!")</f>
        <v>OK!</v>
      </c>
      <c r="P206" s="407" t="str">
        <f t="shared" ref="P206:P210" si="773">IF(M206&lt;0,"STOPP!","OK!")</f>
        <v>OK!</v>
      </c>
      <c r="Q206" s="407" t="str">
        <f t="shared" ref="Q206:Q210" si="774">IF(N206&lt;0,"STOPP!","OK!")</f>
        <v>OK!</v>
      </c>
      <c r="R206" s="407" t="str">
        <f t="shared" ref="R206:R210" si="775">IF(O206&lt;0,"STOPP!","OK!")</f>
        <v>OK!</v>
      </c>
      <c r="S206" s="407" t="str">
        <f t="shared" ref="S206:S208" si="776">IF(D206&lt;0,"STOPP!","OK!")</f>
        <v>OK!</v>
      </c>
      <c r="T206" s="407" t="str">
        <f t="shared" ref="T206:T208" si="77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7" t="str">
        <f t="shared" si="763"/>
        <v>OK!</v>
      </c>
      <c r="G207" s="407" t="str">
        <f t="shared" si="764"/>
        <v>OK!</v>
      </c>
      <c r="H207" s="407" t="str">
        <f t="shared" si="765"/>
        <v>OK!</v>
      </c>
      <c r="I207" s="407" t="str">
        <f t="shared" si="766"/>
        <v>OK!</v>
      </c>
      <c r="J207" s="407" t="str">
        <f t="shared" si="767"/>
        <v>OK!</v>
      </c>
      <c r="K207" s="407" t="str">
        <f t="shared" si="768"/>
        <v>OK!</v>
      </c>
      <c r="L207" s="407" t="str">
        <f t="shared" si="769"/>
        <v>OK!</v>
      </c>
      <c r="M207" s="407" t="str">
        <f t="shared" si="770"/>
        <v>OK!</v>
      </c>
      <c r="N207" s="407" t="str">
        <f t="shared" si="771"/>
        <v>OK!</v>
      </c>
      <c r="O207" s="407" t="str">
        <f t="shared" si="772"/>
        <v>OK!</v>
      </c>
      <c r="P207" s="407" t="str">
        <f t="shared" si="773"/>
        <v>OK!</v>
      </c>
      <c r="Q207" s="407" t="str">
        <f t="shared" si="774"/>
        <v>OK!</v>
      </c>
      <c r="R207" s="407" t="str">
        <f t="shared" si="775"/>
        <v>OK!</v>
      </c>
      <c r="S207" s="407" t="str">
        <f t="shared" si="776"/>
        <v>OK!</v>
      </c>
      <c r="T207" s="407" t="str">
        <f t="shared" si="777"/>
        <v>OK!</v>
      </c>
    </row>
    <row r="208" spans="1:20" x14ac:dyDescent="0.15">
      <c r="A208" s="565" t="str">
        <f>A$10</f>
        <v>Shpenzimet kapitale</v>
      </c>
      <c r="B208" s="566"/>
      <c r="C208" s="563">
        <f>C209-C206-C207</f>
        <v>0</v>
      </c>
      <c r="D208" s="561">
        <f>D209-D206-D207</f>
        <v>0</v>
      </c>
      <c r="E208" s="561">
        <f>E209-E206-E207</f>
        <v>0</v>
      </c>
      <c r="F208" s="407" t="str">
        <f t="shared" si="763"/>
        <v>OK!</v>
      </c>
      <c r="G208" s="407" t="str">
        <f t="shared" si="764"/>
        <v>OK!</v>
      </c>
      <c r="H208" s="407" t="str">
        <f t="shared" si="765"/>
        <v>OK!</v>
      </c>
      <c r="I208" s="407" t="str">
        <f t="shared" si="766"/>
        <v>OK!</v>
      </c>
      <c r="J208" s="407" t="str">
        <f t="shared" si="767"/>
        <v>OK!</v>
      </c>
      <c r="K208" s="407" t="str">
        <f t="shared" si="768"/>
        <v>OK!</v>
      </c>
      <c r="L208" s="407" t="str">
        <f t="shared" si="769"/>
        <v>OK!</v>
      </c>
      <c r="M208" s="407" t="str">
        <f t="shared" si="770"/>
        <v>OK!</v>
      </c>
      <c r="N208" s="407" t="str">
        <f t="shared" si="771"/>
        <v>OK!</v>
      </c>
      <c r="O208" s="407" t="str">
        <f t="shared" si="772"/>
        <v>OK!</v>
      </c>
      <c r="P208" s="407" t="str">
        <f t="shared" si="773"/>
        <v>OK!</v>
      </c>
      <c r="Q208" s="407" t="str">
        <f t="shared" si="774"/>
        <v>OK!</v>
      </c>
      <c r="R208" s="407" t="str">
        <f t="shared" si="775"/>
        <v>OK!</v>
      </c>
      <c r="S208" s="407" t="str">
        <f t="shared" si="776"/>
        <v>OK!</v>
      </c>
      <c r="T208" s="407" t="str">
        <f t="shared" si="777"/>
        <v>OK!</v>
      </c>
    </row>
    <row r="209" spans="1:20" x14ac:dyDescent="0.15">
      <c r="A209" s="555" t="str">
        <f>A$11</f>
        <v>Tavanet e përgjithshme</v>
      </c>
      <c r="B209" s="556"/>
      <c r="C209" s="564"/>
      <c r="D209" s="562"/>
      <c r="E209" s="562"/>
      <c r="F209" s="407" t="str">
        <f>IF(C209&lt;0,"STOPP!","OK!")</f>
        <v>OK!</v>
      </c>
      <c r="G209" s="407" t="str">
        <f t="shared" si="764"/>
        <v>OK!</v>
      </c>
      <c r="H209" s="407" t="str">
        <f t="shared" si="765"/>
        <v>OK!</v>
      </c>
      <c r="I209" s="407" t="str">
        <f t="shared" si="766"/>
        <v>OK!</v>
      </c>
      <c r="J209" s="407" t="str">
        <f t="shared" si="767"/>
        <v>OK!</v>
      </c>
      <c r="K209" s="407" t="str">
        <f t="shared" si="768"/>
        <v>OK!</v>
      </c>
      <c r="L209" s="407" t="str">
        <f t="shared" si="769"/>
        <v>OK!</v>
      </c>
      <c r="M209" s="407" t="str">
        <f t="shared" si="770"/>
        <v>OK!</v>
      </c>
      <c r="N209" s="407" t="str">
        <f t="shared" si="771"/>
        <v>OK!</v>
      </c>
      <c r="O209" s="407" t="str">
        <f t="shared" si="772"/>
        <v>OK!</v>
      </c>
      <c r="P209" s="407" t="str">
        <f t="shared" si="773"/>
        <v>OK!</v>
      </c>
      <c r="Q209" s="407" t="str">
        <f t="shared" si="774"/>
        <v>OK!</v>
      </c>
      <c r="R209" s="407" t="str">
        <f t="shared" si="77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7" t="str">
        <f>A$12</f>
        <v>Angazhimet kujtesë</v>
      </c>
      <c r="B210" s="563"/>
      <c r="C210" s="563">
        <f>'(C5) Angazhimet'!D72</f>
        <v>0</v>
      </c>
      <c r="D210" s="563">
        <f>'(C5) Angazhimet'!E72</f>
        <v>0</v>
      </c>
      <c r="E210" s="563">
        <f>'(C5) Angazhimet'!F72</f>
        <v>0</v>
      </c>
      <c r="F210" s="407" t="str">
        <f>IF(C210&gt;C209,"STOPP!","OK!")</f>
        <v>OK!</v>
      </c>
      <c r="G210" s="407" t="str">
        <f t="shared" si="764"/>
        <v>OK!</v>
      </c>
      <c r="H210" s="407" t="str">
        <f t="shared" si="765"/>
        <v>OK!</v>
      </c>
      <c r="I210" s="407" t="str">
        <f t="shared" si="766"/>
        <v>OK!</v>
      </c>
      <c r="J210" s="407" t="str">
        <f t="shared" si="767"/>
        <v>OK!</v>
      </c>
      <c r="K210" s="407" t="str">
        <f t="shared" si="768"/>
        <v>OK!</v>
      </c>
      <c r="L210" s="407" t="str">
        <f t="shared" si="769"/>
        <v>OK!</v>
      </c>
      <c r="M210" s="407" t="str">
        <f t="shared" si="770"/>
        <v>OK!</v>
      </c>
      <c r="N210" s="407" t="str">
        <f t="shared" si="771"/>
        <v>OK!</v>
      </c>
      <c r="O210" s="407" t="str">
        <f t="shared" si="772"/>
        <v>OK!</v>
      </c>
      <c r="P210" s="407" t="str">
        <f t="shared" si="773"/>
        <v>OK!</v>
      </c>
      <c r="Q210" s="407" t="str">
        <f t="shared" si="774"/>
        <v>OK!</v>
      </c>
      <c r="R210" s="407" t="str">
        <f t="shared" si="77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6" t="str">
        <f>'(B2) Struktura Organizative'!A36</f>
        <v>Nënfunksioni 12</v>
      </c>
      <c r="B211" s="894" t="str">
        <f>'(B2) Struktura Organizative'!B36</f>
        <v>053 Reduktimi i ndotjes</v>
      </c>
      <c r="C211" s="895"/>
      <c r="D211" s="895"/>
      <c r="E211" s="896"/>
      <c r="G211" s="312">
        <f>C215</f>
        <v>0</v>
      </c>
      <c r="H211" s="312">
        <f t="shared" ref="H211" si="778">D215</f>
        <v>0</v>
      </c>
      <c r="I211" s="312">
        <f t="shared" ref="I211" si="779">E215</f>
        <v>0</v>
      </c>
      <c r="J211" s="312">
        <f>C212</f>
        <v>0</v>
      </c>
      <c r="K211" s="312">
        <f t="shared" ref="K211" si="780">D212</f>
        <v>0</v>
      </c>
      <c r="L211" s="312">
        <f t="shared" ref="L211" si="781">E212</f>
        <v>0</v>
      </c>
      <c r="M211" s="312">
        <f>C213</f>
        <v>0</v>
      </c>
      <c r="N211" s="312">
        <f t="shared" ref="N211" si="782">D213</f>
        <v>0</v>
      </c>
      <c r="O211" s="312">
        <f t="shared" ref="O211" si="783">E213</f>
        <v>0</v>
      </c>
      <c r="P211" s="312">
        <f>C214</f>
        <v>0</v>
      </c>
      <c r="Q211" s="312">
        <f t="shared" ref="Q211" si="784">D214</f>
        <v>0</v>
      </c>
      <c r="R211" s="312">
        <f t="shared" ref="R211" si="785">E214</f>
        <v>0</v>
      </c>
    </row>
    <row r="212" spans="1:20" x14ac:dyDescent="0.15">
      <c r="A212" s="286" t="str">
        <f>A$8</f>
        <v>Pagat dhe sigurimet shoqërore</v>
      </c>
      <c r="B212" s="286"/>
      <c r="C212" s="563">
        <f>C218</f>
        <v>0</v>
      </c>
      <c r="D212" s="563">
        <f t="shared" ref="D212:E212" si="786">D218</f>
        <v>0</v>
      </c>
      <c r="E212" s="563">
        <f t="shared" si="786"/>
        <v>0</v>
      </c>
      <c r="F212" s="407" t="str">
        <f t="shared" ref="F212:F214" si="787">IF(C212&lt;0,"STOPP!","OK!")</f>
        <v>OK!</v>
      </c>
      <c r="G212" s="407" t="str">
        <f t="shared" ref="G212:G214" si="788">IF(D212&lt;0,"STOPP!","OK!")</f>
        <v>OK!</v>
      </c>
      <c r="H212" s="407" t="str">
        <f t="shared" ref="H212:H214" si="789">IF(E212&lt;0,"STOPP!","OK!")</f>
        <v>OK!</v>
      </c>
      <c r="I212" s="407" t="str">
        <f t="shared" ref="I212:I214" si="790">IF(F212&lt;0,"STOPP!","OK!")</f>
        <v>OK!</v>
      </c>
      <c r="J212" s="407" t="str">
        <f t="shared" ref="J212:J214" si="791">IF(G212&lt;0,"STOPP!","OK!")</f>
        <v>OK!</v>
      </c>
      <c r="K212" s="407" t="str">
        <f t="shared" ref="K212:K214" si="792">IF(H212&lt;0,"STOPP!","OK!")</f>
        <v>OK!</v>
      </c>
      <c r="L212" s="407" t="str">
        <f t="shared" ref="L212:L214" si="793">IF(I212&lt;0,"STOPP!","OK!")</f>
        <v>OK!</v>
      </c>
      <c r="M212" s="407" t="str">
        <f t="shared" ref="M212:M214" si="794">IF(J212&lt;0,"STOPP!","OK!")</f>
        <v>OK!</v>
      </c>
      <c r="N212" s="407" t="str">
        <f t="shared" ref="N212:N214" si="795">IF(K212&lt;0,"STOPP!","OK!")</f>
        <v>OK!</v>
      </c>
      <c r="O212" s="407" t="str">
        <f t="shared" ref="O212:O214" si="796">IF(L212&lt;0,"STOPP!","OK!")</f>
        <v>OK!</v>
      </c>
      <c r="P212" s="407" t="str">
        <f t="shared" ref="P212:P214" si="797">IF(M212&lt;0,"STOPP!","OK!")</f>
        <v>OK!</v>
      </c>
      <c r="Q212" s="407" t="str">
        <f t="shared" ref="Q212:Q214" si="798">IF(N212&lt;0,"STOPP!","OK!")</f>
        <v>OK!</v>
      </c>
      <c r="R212" s="407" t="str">
        <f t="shared" ref="R212:R214" si="799">IF(O212&lt;0,"STOPP!","OK!")</f>
        <v>OK!</v>
      </c>
      <c r="S212" s="407" t="str">
        <f t="shared" ref="S212:S214" si="800">IF(D212&lt;0,"STOPP!","OK!")</f>
        <v>OK!</v>
      </c>
      <c r="T212" s="407" t="str">
        <f t="shared" ref="T212:T214" si="80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3">
        <f>C219</f>
        <v>0</v>
      </c>
      <c r="D213" s="563">
        <f t="shared" ref="D213:E213" si="802">D219</f>
        <v>0</v>
      </c>
      <c r="E213" s="563">
        <f t="shared" si="802"/>
        <v>0</v>
      </c>
      <c r="F213" s="407" t="str">
        <f t="shared" si="787"/>
        <v>OK!</v>
      </c>
      <c r="G213" s="407" t="str">
        <f t="shared" si="788"/>
        <v>OK!</v>
      </c>
      <c r="H213" s="407" t="str">
        <f t="shared" si="789"/>
        <v>OK!</v>
      </c>
      <c r="I213" s="407" t="str">
        <f t="shared" si="790"/>
        <v>OK!</v>
      </c>
      <c r="J213" s="407" t="str">
        <f t="shared" si="791"/>
        <v>OK!</v>
      </c>
      <c r="K213" s="407" t="str">
        <f t="shared" si="792"/>
        <v>OK!</v>
      </c>
      <c r="L213" s="407" t="str">
        <f t="shared" si="793"/>
        <v>OK!</v>
      </c>
      <c r="M213" s="407" t="str">
        <f t="shared" si="794"/>
        <v>OK!</v>
      </c>
      <c r="N213" s="407" t="str">
        <f t="shared" si="795"/>
        <v>OK!</v>
      </c>
      <c r="O213" s="407" t="str">
        <f t="shared" si="796"/>
        <v>OK!</v>
      </c>
      <c r="P213" s="407" t="str">
        <f t="shared" si="797"/>
        <v>OK!</v>
      </c>
      <c r="Q213" s="407" t="str">
        <f t="shared" si="798"/>
        <v>OK!</v>
      </c>
      <c r="R213" s="407" t="str">
        <f t="shared" si="799"/>
        <v>OK!</v>
      </c>
      <c r="S213" s="407" t="str">
        <f t="shared" si="800"/>
        <v>OK!</v>
      </c>
      <c r="T213" s="407" t="str">
        <f t="shared" si="801"/>
        <v>OK!</v>
      </c>
    </row>
    <row r="214" spans="1:20" x14ac:dyDescent="0.15">
      <c r="A214" s="565" t="str">
        <f>A$10</f>
        <v>Shpenzimet kapitale</v>
      </c>
      <c r="B214" s="566"/>
      <c r="C214" s="563">
        <f>C215-C212-C213</f>
        <v>0</v>
      </c>
      <c r="D214" s="561">
        <f>D215-D212-D213</f>
        <v>0</v>
      </c>
      <c r="E214" s="561">
        <f>E215-E212-E213</f>
        <v>0</v>
      </c>
      <c r="F214" s="407" t="str">
        <f t="shared" si="787"/>
        <v>OK!</v>
      </c>
      <c r="G214" s="407" t="str">
        <f t="shared" si="788"/>
        <v>OK!</v>
      </c>
      <c r="H214" s="407" t="str">
        <f t="shared" si="789"/>
        <v>OK!</v>
      </c>
      <c r="I214" s="407" t="str">
        <f t="shared" si="790"/>
        <v>OK!</v>
      </c>
      <c r="J214" s="407" t="str">
        <f t="shared" si="791"/>
        <v>OK!</v>
      </c>
      <c r="K214" s="407" t="str">
        <f t="shared" si="792"/>
        <v>OK!</v>
      </c>
      <c r="L214" s="407" t="str">
        <f t="shared" si="793"/>
        <v>OK!</v>
      </c>
      <c r="M214" s="407" t="str">
        <f t="shared" si="794"/>
        <v>OK!</v>
      </c>
      <c r="N214" s="407" t="str">
        <f t="shared" si="795"/>
        <v>OK!</v>
      </c>
      <c r="O214" s="407" t="str">
        <f t="shared" si="796"/>
        <v>OK!</v>
      </c>
      <c r="P214" s="407" t="str">
        <f t="shared" si="797"/>
        <v>OK!</v>
      </c>
      <c r="Q214" s="407" t="str">
        <f t="shared" si="798"/>
        <v>OK!</v>
      </c>
      <c r="R214" s="407" t="str">
        <f t="shared" si="799"/>
        <v>OK!</v>
      </c>
      <c r="S214" s="407" t="str">
        <f t="shared" si="800"/>
        <v>OK!</v>
      </c>
      <c r="T214" s="407" t="str">
        <f t="shared" si="801"/>
        <v>OK!</v>
      </c>
    </row>
    <row r="215" spans="1:20" x14ac:dyDescent="0.15">
      <c r="A215" s="555" t="str">
        <f>A$11</f>
        <v>Tavanet e përgjithshme</v>
      </c>
      <c r="B215" s="556"/>
      <c r="C215" s="563">
        <f>C221</f>
        <v>0</v>
      </c>
      <c r="D215" s="563">
        <f t="shared" ref="D215:E215" si="803">D221</f>
        <v>0</v>
      </c>
      <c r="E215" s="563">
        <f t="shared" si="803"/>
        <v>0</v>
      </c>
      <c r="F215" s="407" t="str">
        <f>IF(C215&lt;0,"STOPP!","OK!")</f>
        <v>OK!</v>
      </c>
      <c r="G215" s="407" t="str">
        <f t="shared" ref="G215:G216" si="804">IF(D215&lt;0,"STOPP!","OK!")</f>
        <v>OK!</v>
      </c>
      <c r="H215" s="407" t="str">
        <f t="shared" ref="H215:H216" si="805">IF(E215&lt;0,"STOPP!","OK!")</f>
        <v>OK!</v>
      </c>
      <c r="I215" s="407" t="str">
        <f t="shared" ref="I215:I216" si="806">IF(F215&lt;0,"STOPP!","OK!")</f>
        <v>OK!</v>
      </c>
      <c r="J215" s="407" t="str">
        <f t="shared" ref="J215:J216" si="807">IF(G215&lt;0,"STOPP!","OK!")</f>
        <v>OK!</v>
      </c>
      <c r="K215" s="407" t="str">
        <f t="shared" ref="K215:K216" si="808">IF(H215&lt;0,"STOPP!","OK!")</f>
        <v>OK!</v>
      </c>
      <c r="L215" s="407" t="str">
        <f t="shared" ref="L215:L216" si="809">IF(I215&lt;0,"STOPP!","OK!")</f>
        <v>OK!</v>
      </c>
      <c r="M215" s="407" t="str">
        <f t="shared" ref="M215:M216" si="810">IF(J215&lt;0,"STOPP!","OK!")</f>
        <v>OK!</v>
      </c>
      <c r="N215" s="407" t="str">
        <f t="shared" ref="N215:N216" si="811">IF(K215&lt;0,"STOPP!","OK!")</f>
        <v>OK!</v>
      </c>
      <c r="O215" s="407" t="str">
        <f t="shared" ref="O215:O216" si="812">IF(L215&lt;0,"STOPP!","OK!")</f>
        <v>OK!</v>
      </c>
      <c r="P215" s="407" t="str">
        <f t="shared" ref="P215:P216" si="813">IF(M215&lt;0,"STOPP!","OK!")</f>
        <v>OK!</v>
      </c>
      <c r="Q215" s="407" t="str">
        <f t="shared" ref="Q215:Q216" si="814">IF(N215&lt;0,"STOPP!","OK!")</f>
        <v>OK!</v>
      </c>
      <c r="R215" s="407" t="str">
        <f t="shared" ref="R215:R216" si="81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7" t="str">
        <f>A$12</f>
        <v>Angazhimet kujtesë</v>
      </c>
      <c r="B216" s="563"/>
      <c r="C216" s="563">
        <f>'(C5) Angazhimet'!D80</f>
        <v>0</v>
      </c>
      <c r="D216" s="561">
        <f>'(C5) Angazhimet'!E80</f>
        <v>0</v>
      </c>
      <c r="E216" s="561">
        <f>'(C5) Angazhimet'!F80</f>
        <v>0</v>
      </c>
      <c r="F216" s="407" t="str">
        <f>IF(C216&gt;C215,"STOPP!","OK!")</f>
        <v>OK!</v>
      </c>
      <c r="G216" s="407" t="str">
        <f t="shared" si="804"/>
        <v>OK!</v>
      </c>
      <c r="H216" s="407" t="str">
        <f t="shared" si="805"/>
        <v>OK!</v>
      </c>
      <c r="I216" s="407" t="str">
        <f t="shared" si="806"/>
        <v>OK!</v>
      </c>
      <c r="J216" s="407" t="str">
        <f t="shared" si="807"/>
        <v>OK!</v>
      </c>
      <c r="K216" s="407" t="str">
        <f t="shared" si="808"/>
        <v>OK!</v>
      </c>
      <c r="L216" s="407" t="str">
        <f t="shared" si="809"/>
        <v>OK!</v>
      </c>
      <c r="M216" s="407" t="str">
        <f t="shared" si="810"/>
        <v>OK!</v>
      </c>
      <c r="N216" s="407" t="str">
        <f t="shared" si="811"/>
        <v>OK!</v>
      </c>
      <c r="O216" s="407" t="str">
        <f t="shared" si="812"/>
        <v>OK!</v>
      </c>
      <c r="P216" s="407" t="str">
        <f t="shared" si="813"/>
        <v>OK!</v>
      </c>
      <c r="Q216" s="407" t="str">
        <f t="shared" si="814"/>
        <v>OK!</v>
      </c>
      <c r="R216" s="407" t="str">
        <f t="shared" si="81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7" t="str">
        <f>'(B3) Struktura Funksionale'!B68</f>
        <v>05320</v>
      </c>
      <c r="B217" s="891" t="str">
        <f>'(B3) Struktura Funksionale'!C68</f>
        <v>Programet e mbrojtjes së mjedisit</v>
      </c>
      <c r="C217" s="892"/>
      <c r="D217" s="892"/>
      <c r="E217" s="893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16">IF(C218&lt;0,"STOPP!","OK!")</f>
        <v>OK!</v>
      </c>
      <c r="G218" s="407" t="str">
        <f t="shared" ref="G218:G222" si="817">IF(D218&lt;0,"STOPP!","OK!")</f>
        <v>OK!</v>
      </c>
      <c r="H218" s="407" t="str">
        <f t="shared" ref="H218:H222" si="818">IF(E218&lt;0,"STOPP!","OK!")</f>
        <v>OK!</v>
      </c>
      <c r="I218" s="407" t="str">
        <f t="shared" ref="I218:I222" si="819">IF(F218&lt;0,"STOPP!","OK!")</f>
        <v>OK!</v>
      </c>
      <c r="J218" s="407" t="str">
        <f t="shared" ref="J218:J222" si="820">IF(G218&lt;0,"STOPP!","OK!")</f>
        <v>OK!</v>
      </c>
      <c r="K218" s="407" t="str">
        <f t="shared" ref="K218:K222" si="821">IF(H218&lt;0,"STOPP!","OK!")</f>
        <v>OK!</v>
      </c>
      <c r="L218" s="407" t="str">
        <f t="shared" ref="L218:L222" si="822">IF(I218&lt;0,"STOPP!","OK!")</f>
        <v>OK!</v>
      </c>
      <c r="M218" s="407" t="str">
        <f t="shared" ref="M218:M222" si="823">IF(J218&lt;0,"STOPP!","OK!")</f>
        <v>OK!</v>
      </c>
      <c r="N218" s="407" t="str">
        <f t="shared" ref="N218:N222" si="824">IF(K218&lt;0,"STOPP!","OK!")</f>
        <v>OK!</v>
      </c>
      <c r="O218" s="407" t="str">
        <f t="shared" ref="O218:O222" si="825">IF(L218&lt;0,"STOPP!","OK!")</f>
        <v>OK!</v>
      </c>
      <c r="P218" s="407" t="str">
        <f t="shared" ref="P218:P222" si="826">IF(M218&lt;0,"STOPP!","OK!")</f>
        <v>OK!</v>
      </c>
      <c r="Q218" s="407" t="str">
        <f t="shared" ref="Q218:Q222" si="827">IF(N218&lt;0,"STOPP!","OK!")</f>
        <v>OK!</v>
      </c>
      <c r="R218" s="407" t="str">
        <f t="shared" ref="R218:R222" si="828">IF(O218&lt;0,"STOPP!","OK!")</f>
        <v>OK!</v>
      </c>
      <c r="S218" s="407" t="str">
        <f t="shared" ref="S218:S220" si="829">IF(D218&lt;0,"STOPP!","OK!")</f>
        <v>OK!</v>
      </c>
      <c r="T218" s="407" t="str">
        <f t="shared" ref="T218:T220" si="83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16"/>
        <v>OK!</v>
      </c>
      <c r="G219" s="407" t="str">
        <f t="shared" si="817"/>
        <v>OK!</v>
      </c>
      <c r="H219" s="407" t="str">
        <f t="shared" si="818"/>
        <v>OK!</v>
      </c>
      <c r="I219" s="407" t="str">
        <f t="shared" si="819"/>
        <v>OK!</v>
      </c>
      <c r="J219" s="407" t="str">
        <f t="shared" si="820"/>
        <v>OK!</v>
      </c>
      <c r="K219" s="407" t="str">
        <f t="shared" si="821"/>
        <v>OK!</v>
      </c>
      <c r="L219" s="407" t="str">
        <f t="shared" si="822"/>
        <v>OK!</v>
      </c>
      <c r="M219" s="407" t="str">
        <f t="shared" si="823"/>
        <v>OK!</v>
      </c>
      <c r="N219" s="407" t="str">
        <f t="shared" si="824"/>
        <v>OK!</v>
      </c>
      <c r="O219" s="407" t="str">
        <f t="shared" si="825"/>
        <v>OK!</v>
      </c>
      <c r="P219" s="407" t="str">
        <f t="shared" si="826"/>
        <v>OK!</v>
      </c>
      <c r="Q219" s="407" t="str">
        <f t="shared" si="827"/>
        <v>OK!</v>
      </c>
      <c r="R219" s="407" t="str">
        <f t="shared" si="828"/>
        <v>OK!</v>
      </c>
      <c r="S219" s="407" t="str">
        <f t="shared" si="829"/>
        <v>OK!</v>
      </c>
      <c r="T219" s="407" t="str">
        <f t="shared" si="830"/>
        <v>OK!</v>
      </c>
    </row>
    <row r="220" spans="1:20" x14ac:dyDescent="0.15">
      <c r="A220" s="565" t="str">
        <f>A$10</f>
        <v>Shpenzimet kapitale</v>
      </c>
      <c r="B220" s="566"/>
      <c r="C220" s="563">
        <f>C221-C218-C219</f>
        <v>0</v>
      </c>
      <c r="D220" s="561">
        <f>D221-D218-D219</f>
        <v>0</v>
      </c>
      <c r="E220" s="561">
        <f>E221-E218-E219</f>
        <v>0</v>
      </c>
      <c r="F220" s="407" t="str">
        <f t="shared" si="816"/>
        <v>OK!</v>
      </c>
      <c r="G220" s="407" t="str">
        <f t="shared" si="817"/>
        <v>OK!</v>
      </c>
      <c r="H220" s="407" t="str">
        <f t="shared" si="818"/>
        <v>OK!</v>
      </c>
      <c r="I220" s="407" t="str">
        <f t="shared" si="819"/>
        <v>OK!</v>
      </c>
      <c r="J220" s="407" t="str">
        <f t="shared" si="820"/>
        <v>OK!</v>
      </c>
      <c r="K220" s="407" t="str">
        <f t="shared" si="821"/>
        <v>OK!</v>
      </c>
      <c r="L220" s="407" t="str">
        <f t="shared" si="822"/>
        <v>OK!</v>
      </c>
      <c r="M220" s="407" t="str">
        <f t="shared" si="823"/>
        <v>OK!</v>
      </c>
      <c r="N220" s="407" t="str">
        <f t="shared" si="824"/>
        <v>OK!</v>
      </c>
      <c r="O220" s="407" t="str">
        <f t="shared" si="825"/>
        <v>OK!</v>
      </c>
      <c r="P220" s="407" t="str">
        <f t="shared" si="826"/>
        <v>OK!</v>
      </c>
      <c r="Q220" s="407" t="str">
        <f t="shared" si="827"/>
        <v>OK!</v>
      </c>
      <c r="R220" s="407" t="str">
        <f t="shared" si="828"/>
        <v>OK!</v>
      </c>
      <c r="S220" s="407" t="str">
        <f t="shared" si="829"/>
        <v>OK!</v>
      </c>
      <c r="T220" s="407" t="str">
        <f t="shared" si="830"/>
        <v>OK!</v>
      </c>
    </row>
    <row r="221" spans="1:20" x14ac:dyDescent="0.15">
      <c r="A221" s="555" t="str">
        <f>A$11</f>
        <v>Tavanet e përgjithshme</v>
      </c>
      <c r="B221" s="556"/>
      <c r="C221" s="564"/>
      <c r="D221" s="562"/>
      <c r="E221" s="562"/>
      <c r="F221" s="407" t="str">
        <f>IF(C221&lt;0,"STOPP!","OK!")</f>
        <v>OK!</v>
      </c>
      <c r="G221" s="407" t="str">
        <f t="shared" si="817"/>
        <v>OK!</v>
      </c>
      <c r="H221" s="407" t="str">
        <f t="shared" si="818"/>
        <v>OK!</v>
      </c>
      <c r="I221" s="407" t="str">
        <f t="shared" si="819"/>
        <v>OK!</v>
      </c>
      <c r="J221" s="407" t="str">
        <f t="shared" si="820"/>
        <v>OK!</v>
      </c>
      <c r="K221" s="407" t="str">
        <f t="shared" si="821"/>
        <v>OK!</v>
      </c>
      <c r="L221" s="407" t="str">
        <f t="shared" si="822"/>
        <v>OK!</v>
      </c>
      <c r="M221" s="407" t="str">
        <f t="shared" si="823"/>
        <v>OK!</v>
      </c>
      <c r="N221" s="407" t="str">
        <f t="shared" si="824"/>
        <v>OK!</v>
      </c>
      <c r="O221" s="407" t="str">
        <f t="shared" si="825"/>
        <v>OK!</v>
      </c>
      <c r="P221" s="407" t="str">
        <f t="shared" si="826"/>
        <v>OK!</v>
      </c>
      <c r="Q221" s="407" t="str">
        <f t="shared" si="827"/>
        <v>OK!</v>
      </c>
      <c r="R221" s="407" t="str">
        <f t="shared" si="82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7" t="str">
        <f>A$12</f>
        <v>Angazhimet kujtesë</v>
      </c>
      <c r="B222" s="563"/>
      <c r="C222" s="563">
        <f>'(C5) Angazhimet'!D77</f>
        <v>0</v>
      </c>
      <c r="D222" s="563">
        <f>'(C5) Angazhimet'!E77</f>
        <v>0</v>
      </c>
      <c r="E222" s="563">
        <f>'(C5) Angazhimet'!F77</f>
        <v>0</v>
      </c>
      <c r="F222" s="407" t="str">
        <f>IF(C222&gt;C221,"STOPP!","OK!")</f>
        <v>OK!</v>
      </c>
      <c r="G222" s="407" t="str">
        <f t="shared" si="817"/>
        <v>OK!</v>
      </c>
      <c r="H222" s="407" t="str">
        <f t="shared" si="818"/>
        <v>OK!</v>
      </c>
      <c r="I222" s="407" t="str">
        <f t="shared" si="819"/>
        <v>OK!</v>
      </c>
      <c r="J222" s="407" t="str">
        <f t="shared" si="820"/>
        <v>OK!</v>
      </c>
      <c r="K222" s="407" t="str">
        <f t="shared" si="821"/>
        <v>OK!</v>
      </c>
      <c r="L222" s="407" t="str">
        <f t="shared" si="822"/>
        <v>OK!</v>
      </c>
      <c r="M222" s="407" t="str">
        <f t="shared" si="823"/>
        <v>OK!</v>
      </c>
      <c r="N222" s="407" t="str">
        <f t="shared" si="824"/>
        <v>OK!</v>
      </c>
      <c r="O222" s="407" t="str">
        <f t="shared" si="825"/>
        <v>OK!</v>
      </c>
      <c r="P222" s="407" t="str">
        <f t="shared" si="826"/>
        <v>OK!</v>
      </c>
      <c r="Q222" s="407" t="str">
        <f t="shared" si="827"/>
        <v>OK!</v>
      </c>
      <c r="R222" s="407" t="str">
        <f t="shared" si="82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6" t="str">
        <f>'(B2) Struktura Organizative'!A38</f>
        <v>Nënfunksioni 13</v>
      </c>
      <c r="B223" s="876" t="str">
        <f>'(B2) Struktura Organizative'!B38</f>
        <v>056 Mbrojtja e mjedisit</v>
      </c>
      <c r="C223" s="901"/>
      <c r="D223" s="901"/>
      <c r="E223" s="877"/>
      <c r="G223" s="312">
        <f>C227</f>
        <v>0</v>
      </c>
      <c r="H223" s="312">
        <f t="shared" ref="H223" si="831">D227</f>
        <v>0</v>
      </c>
      <c r="I223" s="312">
        <f t="shared" ref="I223" si="832">E227</f>
        <v>0</v>
      </c>
      <c r="J223" s="312">
        <f>C224</f>
        <v>0</v>
      </c>
      <c r="K223" s="312">
        <f t="shared" ref="K223" si="833">D224</f>
        <v>0</v>
      </c>
      <c r="L223" s="312">
        <f t="shared" ref="L223" si="834">E224</f>
        <v>0</v>
      </c>
      <c r="M223" s="312">
        <f>C225</f>
        <v>0</v>
      </c>
      <c r="N223" s="312">
        <f t="shared" ref="N223" si="835">D225</f>
        <v>0</v>
      </c>
      <c r="O223" s="312">
        <f t="shared" ref="O223" si="836">E225</f>
        <v>0</v>
      </c>
      <c r="P223" s="312">
        <f>C226</f>
        <v>0</v>
      </c>
      <c r="Q223" s="312">
        <f t="shared" ref="Q223" si="837">D226</f>
        <v>0</v>
      </c>
      <c r="R223" s="312">
        <f t="shared" ref="R223" si="838">E226</f>
        <v>0</v>
      </c>
    </row>
    <row r="224" spans="1:20" x14ac:dyDescent="0.15">
      <c r="A224" s="286" t="str">
        <f>A$8</f>
        <v>Pagat dhe sigurimet shoqërore</v>
      </c>
      <c r="B224" s="286"/>
      <c r="C224" s="563">
        <f>C230+C236</f>
        <v>0</v>
      </c>
      <c r="D224" s="563">
        <f t="shared" ref="D224:E224" si="839">D230+D236</f>
        <v>0</v>
      </c>
      <c r="E224" s="563">
        <f t="shared" si="839"/>
        <v>0</v>
      </c>
      <c r="F224" s="407" t="str">
        <f t="shared" ref="F224:F226" si="840">IF(C224&lt;0,"STOPP!","OK!")</f>
        <v>OK!</v>
      </c>
      <c r="G224" s="407" t="str">
        <f t="shared" ref="G224:G226" si="841">IF(D224&lt;0,"STOPP!","OK!")</f>
        <v>OK!</v>
      </c>
      <c r="H224" s="407" t="str">
        <f t="shared" ref="H224:H226" si="842">IF(E224&lt;0,"STOPP!","OK!")</f>
        <v>OK!</v>
      </c>
      <c r="I224" s="407" t="str">
        <f t="shared" ref="I224:I226" si="843">IF(F224&lt;0,"STOPP!","OK!")</f>
        <v>OK!</v>
      </c>
      <c r="J224" s="407" t="str">
        <f t="shared" ref="J224:J226" si="844">IF(G224&lt;0,"STOPP!","OK!")</f>
        <v>OK!</v>
      </c>
      <c r="K224" s="407" t="str">
        <f t="shared" ref="K224:K226" si="845">IF(H224&lt;0,"STOPP!","OK!")</f>
        <v>OK!</v>
      </c>
      <c r="L224" s="407" t="str">
        <f t="shared" ref="L224:L226" si="846">IF(I224&lt;0,"STOPP!","OK!")</f>
        <v>OK!</v>
      </c>
      <c r="M224" s="407" t="str">
        <f t="shared" ref="M224:M226" si="847">IF(J224&lt;0,"STOPP!","OK!")</f>
        <v>OK!</v>
      </c>
      <c r="N224" s="407" t="str">
        <f t="shared" ref="N224:N226" si="848">IF(K224&lt;0,"STOPP!","OK!")</f>
        <v>OK!</v>
      </c>
      <c r="O224" s="407" t="str">
        <f t="shared" ref="O224:O226" si="849">IF(L224&lt;0,"STOPP!","OK!")</f>
        <v>OK!</v>
      </c>
      <c r="P224" s="407" t="str">
        <f t="shared" ref="P224:P226" si="850">IF(M224&lt;0,"STOPP!","OK!")</f>
        <v>OK!</v>
      </c>
      <c r="Q224" s="407" t="str">
        <f t="shared" ref="Q224:Q226" si="851">IF(N224&lt;0,"STOPP!","OK!")</f>
        <v>OK!</v>
      </c>
      <c r="R224" s="407" t="str">
        <f t="shared" ref="R224:R226" si="852">IF(O224&lt;0,"STOPP!","OK!")</f>
        <v>OK!</v>
      </c>
      <c r="S224" s="407" t="str">
        <f t="shared" ref="S224:S226" si="853">IF(D224&lt;0,"STOPP!","OK!")</f>
        <v>OK!</v>
      </c>
      <c r="T224" s="407" t="str">
        <f t="shared" ref="T224:T226" si="85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3">
        <f>C231+C237</f>
        <v>0</v>
      </c>
      <c r="D225" s="563">
        <f t="shared" ref="D225:E225" si="855">D231+D237</f>
        <v>0</v>
      </c>
      <c r="E225" s="563">
        <f t="shared" si="855"/>
        <v>0</v>
      </c>
      <c r="F225" s="407" t="str">
        <f t="shared" si="840"/>
        <v>OK!</v>
      </c>
      <c r="G225" s="407" t="str">
        <f t="shared" si="841"/>
        <v>OK!</v>
      </c>
      <c r="H225" s="407" t="str">
        <f t="shared" si="842"/>
        <v>OK!</v>
      </c>
      <c r="I225" s="407" t="str">
        <f t="shared" si="843"/>
        <v>OK!</v>
      </c>
      <c r="J225" s="407" t="str">
        <f t="shared" si="844"/>
        <v>OK!</v>
      </c>
      <c r="K225" s="407" t="str">
        <f t="shared" si="845"/>
        <v>OK!</v>
      </c>
      <c r="L225" s="407" t="str">
        <f t="shared" si="846"/>
        <v>OK!</v>
      </c>
      <c r="M225" s="407" t="str">
        <f t="shared" si="847"/>
        <v>OK!</v>
      </c>
      <c r="N225" s="407" t="str">
        <f t="shared" si="848"/>
        <v>OK!</v>
      </c>
      <c r="O225" s="407" t="str">
        <f t="shared" si="849"/>
        <v>OK!</v>
      </c>
      <c r="P225" s="407" t="str">
        <f t="shared" si="850"/>
        <v>OK!</v>
      </c>
      <c r="Q225" s="407" t="str">
        <f t="shared" si="851"/>
        <v>OK!</v>
      </c>
      <c r="R225" s="407" t="str">
        <f t="shared" si="852"/>
        <v>OK!</v>
      </c>
      <c r="S225" s="407" t="str">
        <f t="shared" si="853"/>
        <v>OK!</v>
      </c>
      <c r="T225" s="407" t="str">
        <f t="shared" si="854"/>
        <v>OK!</v>
      </c>
    </row>
    <row r="226" spans="1:20" ht="12.75" customHeight="1" x14ac:dyDescent="0.15">
      <c r="A226" s="565" t="str">
        <f>A$10</f>
        <v>Shpenzimet kapitale</v>
      </c>
      <c r="B226" s="566"/>
      <c r="C226" s="563">
        <f>C227-C224-C225</f>
        <v>0</v>
      </c>
      <c r="D226" s="561">
        <f>D227-D224-D225</f>
        <v>0</v>
      </c>
      <c r="E226" s="561">
        <f>E227-E224-E225</f>
        <v>0</v>
      </c>
      <c r="F226" s="407" t="str">
        <f t="shared" si="840"/>
        <v>OK!</v>
      </c>
      <c r="G226" s="407" t="str">
        <f t="shared" si="841"/>
        <v>OK!</v>
      </c>
      <c r="H226" s="407" t="str">
        <f t="shared" si="842"/>
        <v>OK!</v>
      </c>
      <c r="I226" s="407" t="str">
        <f t="shared" si="843"/>
        <v>OK!</v>
      </c>
      <c r="J226" s="407" t="str">
        <f t="shared" si="844"/>
        <v>OK!</v>
      </c>
      <c r="K226" s="407" t="str">
        <f t="shared" si="845"/>
        <v>OK!</v>
      </c>
      <c r="L226" s="407" t="str">
        <f t="shared" si="846"/>
        <v>OK!</v>
      </c>
      <c r="M226" s="407" t="str">
        <f t="shared" si="847"/>
        <v>OK!</v>
      </c>
      <c r="N226" s="407" t="str">
        <f t="shared" si="848"/>
        <v>OK!</v>
      </c>
      <c r="O226" s="407" t="str">
        <f t="shared" si="849"/>
        <v>OK!</v>
      </c>
      <c r="P226" s="407" t="str">
        <f t="shared" si="850"/>
        <v>OK!</v>
      </c>
      <c r="Q226" s="407" t="str">
        <f t="shared" si="851"/>
        <v>OK!</v>
      </c>
      <c r="R226" s="407" t="str">
        <f t="shared" si="852"/>
        <v>OK!</v>
      </c>
      <c r="S226" s="407" t="str">
        <f t="shared" si="853"/>
        <v>OK!</v>
      </c>
      <c r="T226" s="407" t="str">
        <f t="shared" si="854"/>
        <v>OK!</v>
      </c>
    </row>
    <row r="227" spans="1:20" x14ac:dyDescent="0.15">
      <c r="A227" s="555" t="str">
        <f>A$11</f>
        <v>Tavanet e përgjithshme</v>
      </c>
      <c r="B227" s="556"/>
      <c r="C227" s="563">
        <f>C233+C239</f>
        <v>0</v>
      </c>
      <c r="D227" s="563">
        <f t="shared" ref="D227:E227" si="856">D233+D239</f>
        <v>0</v>
      </c>
      <c r="E227" s="563">
        <f t="shared" si="856"/>
        <v>0</v>
      </c>
      <c r="F227" s="407" t="str">
        <f>IF(C227&lt;0,"STOPP!","OK!")</f>
        <v>OK!</v>
      </c>
      <c r="G227" s="407" t="str">
        <f t="shared" ref="G227:G228" si="857">IF(D227&lt;0,"STOPP!","OK!")</f>
        <v>OK!</v>
      </c>
      <c r="H227" s="407" t="str">
        <f t="shared" ref="H227:H228" si="858">IF(E227&lt;0,"STOPP!","OK!")</f>
        <v>OK!</v>
      </c>
      <c r="I227" s="407" t="str">
        <f t="shared" ref="I227:I228" si="859">IF(F227&lt;0,"STOPP!","OK!")</f>
        <v>OK!</v>
      </c>
      <c r="J227" s="407" t="str">
        <f t="shared" ref="J227:J228" si="860">IF(G227&lt;0,"STOPP!","OK!")</f>
        <v>OK!</v>
      </c>
      <c r="K227" s="407" t="str">
        <f t="shared" ref="K227:K228" si="861">IF(H227&lt;0,"STOPP!","OK!")</f>
        <v>OK!</v>
      </c>
      <c r="L227" s="407" t="str">
        <f t="shared" ref="L227:L228" si="862">IF(I227&lt;0,"STOPP!","OK!")</f>
        <v>OK!</v>
      </c>
      <c r="M227" s="407" t="str">
        <f t="shared" ref="M227:M228" si="863">IF(J227&lt;0,"STOPP!","OK!")</f>
        <v>OK!</v>
      </c>
      <c r="N227" s="407" t="str">
        <f t="shared" ref="N227:N228" si="864">IF(K227&lt;0,"STOPP!","OK!")</f>
        <v>OK!</v>
      </c>
      <c r="O227" s="407" t="str">
        <f t="shared" ref="O227:O228" si="865">IF(L227&lt;0,"STOPP!","OK!")</f>
        <v>OK!</v>
      </c>
      <c r="P227" s="407" t="str">
        <f t="shared" ref="P227:P228" si="866">IF(M227&lt;0,"STOPP!","OK!")</f>
        <v>OK!</v>
      </c>
      <c r="Q227" s="407" t="str">
        <f t="shared" ref="Q227:Q228" si="867">IF(N227&lt;0,"STOPP!","OK!")</f>
        <v>OK!</v>
      </c>
      <c r="R227" s="407" t="str">
        <f t="shared" ref="R227:R228" si="86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7" t="str">
        <f>A$12</f>
        <v>Angazhimet kujtesë</v>
      </c>
      <c r="B228" s="563"/>
      <c r="C228" s="563">
        <f>'(C5) Angazhimet'!D85</f>
        <v>0</v>
      </c>
      <c r="D228" s="561">
        <f>'(C5) Angazhimet'!E85</f>
        <v>0</v>
      </c>
      <c r="E228" s="561">
        <f>'(C5) Angazhimet'!F85</f>
        <v>0</v>
      </c>
      <c r="F228" s="407" t="str">
        <f>IF(C228&gt;C227,"STOPP!","OK!")</f>
        <v>OK!</v>
      </c>
      <c r="G228" s="407" t="str">
        <f t="shared" si="857"/>
        <v>OK!</v>
      </c>
      <c r="H228" s="407" t="str">
        <f t="shared" si="858"/>
        <v>OK!</v>
      </c>
      <c r="I228" s="407" t="str">
        <f t="shared" si="859"/>
        <v>OK!</v>
      </c>
      <c r="J228" s="407" t="str">
        <f t="shared" si="860"/>
        <v>OK!</v>
      </c>
      <c r="K228" s="407" t="str">
        <f t="shared" si="861"/>
        <v>OK!</v>
      </c>
      <c r="L228" s="407" t="str">
        <f t="shared" si="862"/>
        <v>OK!</v>
      </c>
      <c r="M228" s="407" t="str">
        <f t="shared" si="863"/>
        <v>OK!</v>
      </c>
      <c r="N228" s="407" t="str">
        <f t="shared" si="864"/>
        <v>OK!</v>
      </c>
      <c r="O228" s="407" t="str">
        <f t="shared" si="865"/>
        <v>OK!</v>
      </c>
      <c r="P228" s="407" t="str">
        <f t="shared" si="866"/>
        <v>OK!</v>
      </c>
      <c r="Q228" s="407" t="str">
        <f t="shared" si="867"/>
        <v>OK!</v>
      </c>
      <c r="R228" s="407" t="str">
        <f t="shared" si="86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7" t="str">
        <f>'(B3) Struktura Funksionale'!B72</f>
        <v>05630</v>
      </c>
      <c r="B229" s="891" t="str">
        <f>'(B3) Struktura Funksionale'!C72</f>
        <v>Ndërgjegjësimi mjedisor</v>
      </c>
      <c r="C229" s="892"/>
      <c r="D229" s="892"/>
      <c r="E229" s="893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69">IF(C230&lt;0,"STOPP!","OK!")</f>
        <v>OK!</v>
      </c>
      <c r="G230" s="407" t="str">
        <f t="shared" ref="G230:G234" si="870">IF(D230&lt;0,"STOPP!","OK!")</f>
        <v>OK!</v>
      </c>
      <c r="H230" s="407" t="str">
        <f t="shared" ref="H230:H234" si="871">IF(E230&lt;0,"STOPP!","OK!")</f>
        <v>OK!</v>
      </c>
      <c r="I230" s="407" t="str">
        <f t="shared" ref="I230:I234" si="872">IF(F230&lt;0,"STOPP!","OK!")</f>
        <v>OK!</v>
      </c>
      <c r="J230" s="407" t="str">
        <f t="shared" ref="J230:J234" si="873">IF(G230&lt;0,"STOPP!","OK!")</f>
        <v>OK!</v>
      </c>
      <c r="K230" s="407" t="str">
        <f t="shared" ref="K230:K234" si="874">IF(H230&lt;0,"STOPP!","OK!")</f>
        <v>OK!</v>
      </c>
      <c r="L230" s="407" t="str">
        <f t="shared" ref="L230:L234" si="875">IF(I230&lt;0,"STOPP!","OK!")</f>
        <v>OK!</v>
      </c>
      <c r="M230" s="407" t="str">
        <f t="shared" ref="M230:M234" si="876">IF(J230&lt;0,"STOPP!","OK!")</f>
        <v>OK!</v>
      </c>
      <c r="N230" s="407" t="str">
        <f t="shared" ref="N230:N234" si="877">IF(K230&lt;0,"STOPP!","OK!")</f>
        <v>OK!</v>
      </c>
      <c r="O230" s="407" t="str">
        <f t="shared" ref="O230:O234" si="878">IF(L230&lt;0,"STOPP!","OK!")</f>
        <v>OK!</v>
      </c>
      <c r="P230" s="407" t="str">
        <f t="shared" ref="P230:P234" si="879">IF(M230&lt;0,"STOPP!","OK!")</f>
        <v>OK!</v>
      </c>
      <c r="Q230" s="407" t="str">
        <f t="shared" ref="Q230:Q234" si="880">IF(N230&lt;0,"STOPP!","OK!")</f>
        <v>OK!</v>
      </c>
      <c r="R230" s="407" t="str">
        <f t="shared" ref="R230:R234" si="881">IF(O230&lt;0,"STOPP!","OK!")</f>
        <v>OK!</v>
      </c>
      <c r="S230" s="407" t="str">
        <f t="shared" ref="S230:S232" si="882">IF(D230&lt;0,"STOPP!","OK!")</f>
        <v>OK!</v>
      </c>
      <c r="T230" s="407" t="str">
        <f t="shared" ref="T230:T232" si="88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69"/>
        <v>OK!</v>
      </c>
      <c r="G231" s="407" t="str">
        <f t="shared" si="870"/>
        <v>OK!</v>
      </c>
      <c r="H231" s="407" t="str">
        <f t="shared" si="871"/>
        <v>OK!</v>
      </c>
      <c r="I231" s="407" t="str">
        <f t="shared" si="872"/>
        <v>OK!</v>
      </c>
      <c r="J231" s="407" t="str">
        <f t="shared" si="873"/>
        <v>OK!</v>
      </c>
      <c r="K231" s="407" t="str">
        <f t="shared" si="874"/>
        <v>OK!</v>
      </c>
      <c r="L231" s="407" t="str">
        <f t="shared" si="875"/>
        <v>OK!</v>
      </c>
      <c r="M231" s="407" t="str">
        <f t="shared" si="876"/>
        <v>OK!</v>
      </c>
      <c r="N231" s="407" t="str">
        <f t="shared" si="877"/>
        <v>OK!</v>
      </c>
      <c r="O231" s="407" t="str">
        <f t="shared" si="878"/>
        <v>OK!</v>
      </c>
      <c r="P231" s="407" t="str">
        <f t="shared" si="879"/>
        <v>OK!</v>
      </c>
      <c r="Q231" s="407" t="str">
        <f t="shared" si="880"/>
        <v>OK!</v>
      </c>
      <c r="R231" s="407" t="str">
        <f t="shared" si="881"/>
        <v>OK!</v>
      </c>
      <c r="S231" s="407" t="str">
        <f t="shared" si="882"/>
        <v>OK!</v>
      </c>
      <c r="T231" s="407" t="str">
        <f t="shared" si="883"/>
        <v>OK!</v>
      </c>
    </row>
    <row r="232" spans="1:20" x14ac:dyDescent="0.15">
      <c r="A232" s="565" t="str">
        <f>A$10</f>
        <v>Shpenzimet kapitale</v>
      </c>
      <c r="B232" s="566"/>
      <c r="C232" s="563">
        <f>C233-C230-C231</f>
        <v>0</v>
      </c>
      <c r="D232" s="561">
        <f>D233-D230-D231</f>
        <v>0</v>
      </c>
      <c r="E232" s="561">
        <f>E233-E230-E231</f>
        <v>0</v>
      </c>
      <c r="F232" s="407" t="str">
        <f t="shared" si="869"/>
        <v>OK!</v>
      </c>
      <c r="G232" s="407" t="str">
        <f t="shared" si="870"/>
        <v>OK!</v>
      </c>
      <c r="H232" s="407" t="str">
        <f t="shared" si="871"/>
        <v>OK!</v>
      </c>
      <c r="I232" s="407" t="str">
        <f t="shared" si="872"/>
        <v>OK!</v>
      </c>
      <c r="J232" s="407" t="str">
        <f t="shared" si="873"/>
        <v>OK!</v>
      </c>
      <c r="K232" s="407" t="str">
        <f t="shared" si="874"/>
        <v>OK!</v>
      </c>
      <c r="L232" s="407" t="str">
        <f t="shared" si="875"/>
        <v>OK!</v>
      </c>
      <c r="M232" s="407" t="str">
        <f t="shared" si="876"/>
        <v>OK!</v>
      </c>
      <c r="N232" s="407" t="str">
        <f t="shared" si="877"/>
        <v>OK!</v>
      </c>
      <c r="O232" s="407" t="str">
        <f t="shared" si="878"/>
        <v>OK!</v>
      </c>
      <c r="P232" s="407" t="str">
        <f t="shared" si="879"/>
        <v>OK!</v>
      </c>
      <c r="Q232" s="407" t="str">
        <f t="shared" si="880"/>
        <v>OK!</v>
      </c>
      <c r="R232" s="407" t="str">
        <f t="shared" si="881"/>
        <v>OK!</v>
      </c>
      <c r="S232" s="407" t="str">
        <f t="shared" si="882"/>
        <v>OK!</v>
      </c>
      <c r="T232" s="407" t="str">
        <f t="shared" si="883"/>
        <v>OK!</v>
      </c>
    </row>
    <row r="233" spans="1:20" x14ac:dyDescent="0.15">
      <c r="A233" s="555" t="str">
        <f>A$11</f>
        <v>Tavanet e përgjithshme</v>
      </c>
      <c r="B233" s="556"/>
      <c r="C233" s="564"/>
      <c r="D233" s="564"/>
      <c r="E233" s="564"/>
      <c r="F233" s="407" t="str">
        <f>IF(C233&lt;0,"STOPP!","OK!")</f>
        <v>OK!</v>
      </c>
      <c r="G233" s="407" t="str">
        <f t="shared" si="870"/>
        <v>OK!</v>
      </c>
      <c r="H233" s="407" t="str">
        <f t="shared" si="871"/>
        <v>OK!</v>
      </c>
      <c r="I233" s="407" t="str">
        <f t="shared" si="872"/>
        <v>OK!</v>
      </c>
      <c r="J233" s="407" t="str">
        <f t="shared" si="873"/>
        <v>OK!</v>
      </c>
      <c r="K233" s="407" t="str">
        <f t="shared" si="874"/>
        <v>OK!</v>
      </c>
      <c r="L233" s="407" t="str">
        <f t="shared" si="875"/>
        <v>OK!</v>
      </c>
      <c r="M233" s="407" t="str">
        <f t="shared" si="876"/>
        <v>OK!</v>
      </c>
      <c r="N233" s="407" t="str">
        <f t="shared" si="877"/>
        <v>OK!</v>
      </c>
      <c r="O233" s="407" t="str">
        <f t="shared" si="878"/>
        <v>OK!</v>
      </c>
      <c r="P233" s="407" t="str">
        <f t="shared" si="879"/>
        <v>OK!</v>
      </c>
      <c r="Q233" s="407" t="str">
        <f t="shared" si="880"/>
        <v>OK!</v>
      </c>
      <c r="R233" s="407" t="str">
        <f t="shared" si="88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7" t="str">
        <f>A$12</f>
        <v>Angazhimet kujtesë</v>
      </c>
      <c r="B234" s="563"/>
      <c r="C234" s="563">
        <f>'(C5) Angazhimet'!D82</f>
        <v>0</v>
      </c>
      <c r="D234" s="563">
        <f>'(C5) Angazhimet'!E82</f>
        <v>0</v>
      </c>
      <c r="E234" s="563">
        <f>'(C5) Angazhimet'!F82</f>
        <v>0</v>
      </c>
      <c r="F234" s="407" t="str">
        <f>IF(C234&gt;C233,"STOPP!","OK!")</f>
        <v>OK!</v>
      </c>
      <c r="G234" s="407" t="str">
        <f t="shared" si="870"/>
        <v>OK!</v>
      </c>
      <c r="H234" s="407" t="str">
        <f t="shared" si="871"/>
        <v>OK!</v>
      </c>
      <c r="I234" s="407" t="str">
        <f t="shared" si="872"/>
        <v>OK!</v>
      </c>
      <c r="J234" s="407" t="str">
        <f t="shared" si="873"/>
        <v>OK!</v>
      </c>
      <c r="K234" s="407" t="str">
        <f t="shared" si="874"/>
        <v>OK!</v>
      </c>
      <c r="L234" s="407" t="str">
        <f t="shared" si="875"/>
        <v>OK!</v>
      </c>
      <c r="M234" s="407" t="str">
        <f t="shared" si="876"/>
        <v>OK!</v>
      </c>
      <c r="N234" s="407" t="str">
        <f t="shared" si="877"/>
        <v>OK!</v>
      </c>
      <c r="O234" s="407" t="str">
        <f t="shared" si="878"/>
        <v>OK!</v>
      </c>
      <c r="P234" s="407" t="str">
        <f t="shared" si="879"/>
        <v>OK!</v>
      </c>
      <c r="Q234" s="407" t="str">
        <f t="shared" si="880"/>
        <v>OK!</v>
      </c>
      <c r="R234" s="407" t="str">
        <f t="shared" si="88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7" t="str">
        <f>'(B3) Struktura Funksionale'!B73</f>
        <v>05640</v>
      </c>
      <c r="B235" s="891" t="str">
        <f>'(B3) Struktura Funksionale'!C73</f>
        <v>Administrimi i resurseve ujore</v>
      </c>
      <c r="C235" s="892"/>
      <c r="D235" s="892"/>
      <c r="E235" s="893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84">IF(C236&lt;0,"STOPP!","OK!")</f>
        <v>OK!</v>
      </c>
      <c r="G236" s="407" t="str">
        <f t="shared" ref="G236:G240" si="885">IF(D236&lt;0,"STOPP!","OK!")</f>
        <v>OK!</v>
      </c>
      <c r="H236" s="407" t="str">
        <f t="shared" ref="H236:H240" si="886">IF(E236&lt;0,"STOPP!","OK!")</f>
        <v>OK!</v>
      </c>
      <c r="I236" s="407" t="str">
        <f t="shared" ref="I236:I240" si="887">IF(F236&lt;0,"STOPP!","OK!")</f>
        <v>OK!</v>
      </c>
      <c r="J236" s="407" t="str">
        <f t="shared" ref="J236:J240" si="888">IF(G236&lt;0,"STOPP!","OK!")</f>
        <v>OK!</v>
      </c>
      <c r="K236" s="407" t="str">
        <f t="shared" ref="K236:K240" si="889">IF(H236&lt;0,"STOPP!","OK!")</f>
        <v>OK!</v>
      </c>
      <c r="L236" s="407" t="str">
        <f t="shared" ref="L236:L240" si="890">IF(I236&lt;0,"STOPP!","OK!")</f>
        <v>OK!</v>
      </c>
      <c r="M236" s="407" t="str">
        <f t="shared" ref="M236:M240" si="891">IF(J236&lt;0,"STOPP!","OK!")</f>
        <v>OK!</v>
      </c>
      <c r="N236" s="407" t="str">
        <f t="shared" ref="N236:N240" si="892">IF(K236&lt;0,"STOPP!","OK!")</f>
        <v>OK!</v>
      </c>
      <c r="O236" s="407" t="str">
        <f t="shared" ref="O236:O240" si="893">IF(L236&lt;0,"STOPP!","OK!")</f>
        <v>OK!</v>
      </c>
      <c r="P236" s="407" t="str">
        <f t="shared" ref="P236:P240" si="894">IF(M236&lt;0,"STOPP!","OK!")</f>
        <v>OK!</v>
      </c>
      <c r="Q236" s="407" t="str">
        <f t="shared" ref="Q236:Q240" si="895">IF(N236&lt;0,"STOPP!","OK!")</f>
        <v>OK!</v>
      </c>
      <c r="R236" s="407" t="str">
        <f t="shared" ref="R236:R240" si="896">IF(O236&lt;0,"STOPP!","OK!")</f>
        <v>OK!</v>
      </c>
      <c r="S236" s="407" t="str">
        <f t="shared" ref="S236:S238" si="897">IF(D236&lt;0,"STOPP!","OK!")</f>
        <v>OK!</v>
      </c>
      <c r="T236" s="407" t="str">
        <f t="shared" ref="T236:T238" si="89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84"/>
        <v>OK!</v>
      </c>
      <c r="G237" s="407" t="str">
        <f t="shared" si="885"/>
        <v>OK!</v>
      </c>
      <c r="H237" s="407" t="str">
        <f t="shared" si="886"/>
        <v>OK!</v>
      </c>
      <c r="I237" s="407" t="str">
        <f t="shared" si="887"/>
        <v>OK!</v>
      </c>
      <c r="J237" s="407" t="str">
        <f t="shared" si="888"/>
        <v>OK!</v>
      </c>
      <c r="K237" s="407" t="str">
        <f t="shared" si="889"/>
        <v>OK!</v>
      </c>
      <c r="L237" s="407" t="str">
        <f t="shared" si="890"/>
        <v>OK!</v>
      </c>
      <c r="M237" s="407" t="str">
        <f t="shared" si="891"/>
        <v>OK!</v>
      </c>
      <c r="N237" s="407" t="str">
        <f t="shared" si="892"/>
        <v>OK!</v>
      </c>
      <c r="O237" s="407" t="str">
        <f t="shared" si="893"/>
        <v>OK!</v>
      </c>
      <c r="P237" s="407" t="str">
        <f t="shared" si="894"/>
        <v>OK!</v>
      </c>
      <c r="Q237" s="407" t="str">
        <f t="shared" si="895"/>
        <v>OK!</v>
      </c>
      <c r="R237" s="407" t="str">
        <f t="shared" si="896"/>
        <v>OK!</v>
      </c>
      <c r="S237" s="407" t="str">
        <f t="shared" si="897"/>
        <v>OK!</v>
      </c>
      <c r="T237" s="407" t="str">
        <f t="shared" si="898"/>
        <v>OK!</v>
      </c>
    </row>
    <row r="238" spans="1:20" hidden="1" x14ac:dyDescent="0.15">
      <c r="A238" s="565" t="str">
        <f>A$10</f>
        <v>Shpenzimet kapitale</v>
      </c>
      <c r="B238" s="566"/>
      <c r="C238" s="563">
        <f>C239-C236-C237</f>
        <v>0</v>
      </c>
      <c r="D238" s="561">
        <f>D239-D236-D237</f>
        <v>0</v>
      </c>
      <c r="E238" s="561">
        <f>E239-E236-E237</f>
        <v>0</v>
      </c>
      <c r="F238" s="407" t="str">
        <f t="shared" si="884"/>
        <v>OK!</v>
      </c>
      <c r="G238" s="407" t="str">
        <f t="shared" si="885"/>
        <v>OK!</v>
      </c>
      <c r="H238" s="407" t="str">
        <f t="shared" si="886"/>
        <v>OK!</v>
      </c>
      <c r="I238" s="407" t="str">
        <f t="shared" si="887"/>
        <v>OK!</v>
      </c>
      <c r="J238" s="407" t="str">
        <f t="shared" si="888"/>
        <v>OK!</v>
      </c>
      <c r="K238" s="407" t="str">
        <f t="shared" si="889"/>
        <v>OK!</v>
      </c>
      <c r="L238" s="407" t="str">
        <f t="shared" si="890"/>
        <v>OK!</v>
      </c>
      <c r="M238" s="407" t="str">
        <f t="shared" si="891"/>
        <v>OK!</v>
      </c>
      <c r="N238" s="407" t="str">
        <f t="shared" si="892"/>
        <v>OK!</v>
      </c>
      <c r="O238" s="407" t="str">
        <f t="shared" si="893"/>
        <v>OK!</v>
      </c>
      <c r="P238" s="407" t="str">
        <f t="shared" si="894"/>
        <v>OK!</v>
      </c>
      <c r="Q238" s="407" t="str">
        <f t="shared" si="895"/>
        <v>OK!</v>
      </c>
      <c r="R238" s="407" t="str">
        <f t="shared" si="896"/>
        <v>OK!</v>
      </c>
      <c r="S238" s="407" t="str">
        <f t="shared" si="897"/>
        <v>OK!</v>
      </c>
      <c r="T238" s="407" t="str">
        <f t="shared" si="898"/>
        <v>OK!</v>
      </c>
    </row>
    <row r="239" spans="1:20" hidden="1" x14ac:dyDescent="0.15">
      <c r="A239" s="555" t="str">
        <f>A$11</f>
        <v>Tavanet e përgjithshme</v>
      </c>
      <c r="B239" s="556"/>
      <c r="C239" s="564"/>
      <c r="D239" s="562"/>
      <c r="E239" s="562"/>
      <c r="F239" s="407" t="str">
        <f>IF(C239&lt;0,"STOPP!","OK!")</f>
        <v>OK!</v>
      </c>
      <c r="G239" s="407" t="str">
        <f t="shared" si="885"/>
        <v>OK!</v>
      </c>
      <c r="H239" s="407" t="str">
        <f t="shared" si="886"/>
        <v>OK!</v>
      </c>
      <c r="I239" s="407" t="str">
        <f t="shared" si="887"/>
        <v>OK!</v>
      </c>
      <c r="J239" s="407" t="str">
        <f t="shared" si="888"/>
        <v>OK!</v>
      </c>
      <c r="K239" s="407" t="str">
        <f t="shared" si="889"/>
        <v>OK!</v>
      </c>
      <c r="L239" s="407" t="str">
        <f t="shared" si="890"/>
        <v>OK!</v>
      </c>
      <c r="M239" s="407" t="str">
        <f t="shared" si="891"/>
        <v>OK!</v>
      </c>
      <c r="N239" s="407" t="str">
        <f t="shared" si="892"/>
        <v>OK!</v>
      </c>
      <c r="O239" s="407" t="str">
        <f t="shared" si="893"/>
        <v>OK!</v>
      </c>
      <c r="P239" s="407" t="str">
        <f t="shared" si="894"/>
        <v>OK!</v>
      </c>
      <c r="Q239" s="407" t="str">
        <f t="shared" si="895"/>
        <v>OK!</v>
      </c>
      <c r="R239" s="407" t="str">
        <f t="shared" si="89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7" t="str">
        <f>A$12</f>
        <v>Angazhimet kujtesë</v>
      </c>
      <c r="B240" s="563"/>
      <c r="C240" s="563">
        <f>'(C5) Angazhimet'!D83</f>
        <v>0</v>
      </c>
      <c r="D240" s="563">
        <f>'(C5) Angazhimet'!E83</f>
        <v>0</v>
      </c>
      <c r="E240" s="563">
        <f>'(C5) Angazhimet'!F83</f>
        <v>0</v>
      </c>
      <c r="F240" s="407" t="str">
        <f>IF(C240&gt;C239,"STOPP!","OK!")</f>
        <v>OK!</v>
      </c>
      <c r="G240" s="407" t="str">
        <f t="shared" si="885"/>
        <v>OK!</v>
      </c>
      <c r="H240" s="407" t="str">
        <f t="shared" si="886"/>
        <v>OK!</v>
      </c>
      <c r="I240" s="407" t="str">
        <f t="shared" si="887"/>
        <v>OK!</v>
      </c>
      <c r="J240" s="407" t="str">
        <f t="shared" si="888"/>
        <v>OK!</v>
      </c>
      <c r="K240" s="407" t="str">
        <f t="shared" si="889"/>
        <v>OK!</v>
      </c>
      <c r="L240" s="407" t="str">
        <f t="shared" si="890"/>
        <v>OK!</v>
      </c>
      <c r="M240" s="407" t="str">
        <f t="shared" si="891"/>
        <v>OK!</v>
      </c>
      <c r="N240" s="407" t="str">
        <f t="shared" si="892"/>
        <v>OK!</v>
      </c>
      <c r="O240" s="407" t="str">
        <f t="shared" si="893"/>
        <v>OK!</v>
      </c>
      <c r="P240" s="407" t="str">
        <f t="shared" si="894"/>
        <v>OK!</v>
      </c>
      <c r="Q240" s="407" t="str">
        <f t="shared" si="895"/>
        <v>OK!</v>
      </c>
      <c r="R240" s="407" t="str">
        <f t="shared" si="89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6" t="str">
        <f>'(B2) Struktura Organizative'!A40</f>
        <v>Nënfunksioni 14</v>
      </c>
      <c r="B241" s="894" t="str">
        <f>'(B2) Struktura Organizative'!B40</f>
        <v>061 Urbanistika</v>
      </c>
      <c r="C241" s="895"/>
      <c r="D241" s="895"/>
      <c r="E241" s="896"/>
      <c r="G241" s="312">
        <f>C245</f>
        <v>0</v>
      </c>
      <c r="H241" s="312">
        <f t="shared" ref="H241" si="899">D245</f>
        <v>0</v>
      </c>
      <c r="I241" s="312">
        <f t="shared" ref="I241" si="900">E245</f>
        <v>0</v>
      </c>
      <c r="J241" s="312">
        <f>C242</f>
        <v>0</v>
      </c>
      <c r="K241" s="312">
        <f t="shared" ref="K241" si="901">D242</f>
        <v>0</v>
      </c>
      <c r="L241" s="312">
        <f t="shared" ref="L241" si="902">E242</f>
        <v>0</v>
      </c>
      <c r="M241" s="312">
        <f>C243</f>
        <v>0</v>
      </c>
      <c r="N241" s="312">
        <f t="shared" ref="N241" si="903">D243</f>
        <v>0</v>
      </c>
      <c r="O241" s="312">
        <f t="shared" ref="O241" si="904">E243</f>
        <v>0</v>
      </c>
      <c r="P241" s="312">
        <f>C244</f>
        <v>0</v>
      </c>
      <c r="Q241" s="312">
        <f t="shared" ref="Q241" si="905">D244</f>
        <v>0</v>
      </c>
      <c r="R241" s="312">
        <f t="shared" ref="R241" si="906">E244</f>
        <v>0</v>
      </c>
    </row>
    <row r="242" spans="1:20" x14ac:dyDescent="0.15">
      <c r="A242" s="286" t="str">
        <f>A$8</f>
        <v>Pagat dhe sigurimet shoqërore</v>
      </c>
      <c r="B242" s="286"/>
      <c r="C242" s="563">
        <f>C248+C254</f>
        <v>0</v>
      </c>
      <c r="D242" s="563">
        <f t="shared" ref="D242:E242" si="907">D248+D254</f>
        <v>0</v>
      </c>
      <c r="E242" s="563">
        <f t="shared" si="907"/>
        <v>0</v>
      </c>
      <c r="F242" s="407" t="str">
        <f t="shared" ref="F242:F244" si="908">IF(C242&lt;0,"STOPP!","OK!")</f>
        <v>OK!</v>
      </c>
      <c r="G242" s="407" t="str">
        <f t="shared" ref="G242:G244" si="909">IF(D242&lt;0,"STOPP!","OK!")</f>
        <v>OK!</v>
      </c>
      <c r="H242" s="407" t="str">
        <f t="shared" ref="H242:H244" si="910">IF(E242&lt;0,"STOPP!","OK!")</f>
        <v>OK!</v>
      </c>
      <c r="I242" s="407" t="str">
        <f t="shared" ref="I242:I244" si="911">IF(F242&lt;0,"STOPP!","OK!")</f>
        <v>OK!</v>
      </c>
      <c r="J242" s="407" t="str">
        <f t="shared" ref="J242:J244" si="912">IF(G242&lt;0,"STOPP!","OK!")</f>
        <v>OK!</v>
      </c>
      <c r="K242" s="407" t="str">
        <f t="shared" ref="K242:K244" si="913">IF(H242&lt;0,"STOPP!","OK!")</f>
        <v>OK!</v>
      </c>
      <c r="L242" s="407" t="str">
        <f t="shared" ref="L242:L244" si="914">IF(I242&lt;0,"STOPP!","OK!")</f>
        <v>OK!</v>
      </c>
      <c r="M242" s="407" t="str">
        <f t="shared" ref="M242:M244" si="915">IF(J242&lt;0,"STOPP!","OK!")</f>
        <v>OK!</v>
      </c>
      <c r="N242" s="407" t="str">
        <f t="shared" ref="N242:N244" si="916">IF(K242&lt;0,"STOPP!","OK!")</f>
        <v>OK!</v>
      </c>
      <c r="O242" s="407" t="str">
        <f t="shared" ref="O242:O244" si="917">IF(L242&lt;0,"STOPP!","OK!")</f>
        <v>OK!</v>
      </c>
      <c r="P242" s="407" t="str">
        <f t="shared" ref="P242:P244" si="918">IF(M242&lt;0,"STOPP!","OK!")</f>
        <v>OK!</v>
      </c>
      <c r="Q242" s="407" t="str">
        <f t="shared" ref="Q242:Q244" si="919">IF(N242&lt;0,"STOPP!","OK!")</f>
        <v>OK!</v>
      </c>
      <c r="R242" s="407" t="str">
        <f t="shared" ref="R242:R244" si="920">IF(O242&lt;0,"STOPP!","OK!")</f>
        <v>OK!</v>
      </c>
      <c r="S242" s="407" t="str">
        <f t="shared" ref="S242:S244" si="921">IF(D242&lt;0,"STOPP!","OK!")</f>
        <v>OK!</v>
      </c>
      <c r="T242" s="407" t="str">
        <f t="shared" ref="T242:T244" si="92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3">
        <f>C249+C255</f>
        <v>0</v>
      </c>
      <c r="D243" s="563">
        <f t="shared" ref="D243:E243" si="923">D249+D255</f>
        <v>0</v>
      </c>
      <c r="E243" s="563">
        <f t="shared" si="923"/>
        <v>0</v>
      </c>
      <c r="F243" s="407" t="str">
        <f t="shared" si="908"/>
        <v>OK!</v>
      </c>
      <c r="G243" s="407" t="str">
        <f t="shared" si="909"/>
        <v>OK!</v>
      </c>
      <c r="H243" s="407" t="str">
        <f t="shared" si="910"/>
        <v>OK!</v>
      </c>
      <c r="I243" s="407" t="str">
        <f t="shared" si="911"/>
        <v>OK!</v>
      </c>
      <c r="J243" s="407" t="str">
        <f t="shared" si="912"/>
        <v>OK!</v>
      </c>
      <c r="K243" s="407" t="str">
        <f t="shared" si="913"/>
        <v>OK!</v>
      </c>
      <c r="L243" s="407" t="str">
        <f t="shared" si="914"/>
        <v>OK!</v>
      </c>
      <c r="M243" s="407" t="str">
        <f t="shared" si="915"/>
        <v>OK!</v>
      </c>
      <c r="N243" s="407" t="str">
        <f t="shared" si="916"/>
        <v>OK!</v>
      </c>
      <c r="O243" s="407" t="str">
        <f t="shared" si="917"/>
        <v>OK!</v>
      </c>
      <c r="P243" s="407" t="str">
        <f t="shared" si="918"/>
        <v>OK!</v>
      </c>
      <c r="Q243" s="407" t="str">
        <f t="shared" si="919"/>
        <v>OK!</v>
      </c>
      <c r="R243" s="407" t="str">
        <f t="shared" si="920"/>
        <v>OK!</v>
      </c>
      <c r="S243" s="407" t="str">
        <f t="shared" si="921"/>
        <v>OK!</v>
      </c>
      <c r="T243" s="407" t="str">
        <f t="shared" si="922"/>
        <v>OK!</v>
      </c>
    </row>
    <row r="244" spans="1:20" x14ac:dyDescent="0.15">
      <c r="A244" s="565" t="str">
        <f>A$10</f>
        <v>Shpenzimet kapitale</v>
      </c>
      <c r="B244" s="566"/>
      <c r="C244" s="563">
        <f>C245-C242-C243</f>
        <v>0</v>
      </c>
      <c r="D244" s="561">
        <f>D245-D242-D243</f>
        <v>0</v>
      </c>
      <c r="E244" s="561">
        <f>E245-E242-E243</f>
        <v>0</v>
      </c>
      <c r="F244" s="407" t="str">
        <f t="shared" si="908"/>
        <v>OK!</v>
      </c>
      <c r="G244" s="407" t="str">
        <f t="shared" si="909"/>
        <v>OK!</v>
      </c>
      <c r="H244" s="407" t="str">
        <f t="shared" si="910"/>
        <v>OK!</v>
      </c>
      <c r="I244" s="407" t="str">
        <f t="shared" si="911"/>
        <v>OK!</v>
      </c>
      <c r="J244" s="407" t="str">
        <f t="shared" si="912"/>
        <v>OK!</v>
      </c>
      <c r="K244" s="407" t="str">
        <f t="shared" si="913"/>
        <v>OK!</v>
      </c>
      <c r="L244" s="407" t="str">
        <f t="shared" si="914"/>
        <v>OK!</v>
      </c>
      <c r="M244" s="407" t="str">
        <f t="shared" si="915"/>
        <v>OK!</v>
      </c>
      <c r="N244" s="407" t="str">
        <f t="shared" si="916"/>
        <v>OK!</v>
      </c>
      <c r="O244" s="407" t="str">
        <f t="shared" si="917"/>
        <v>OK!</v>
      </c>
      <c r="P244" s="407" t="str">
        <f t="shared" si="918"/>
        <v>OK!</v>
      </c>
      <c r="Q244" s="407" t="str">
        <f t="shared" si="919"/>
        <v>OK!</v>
      </c>
      <c r="R244" s="407" t="str">
        <f t="shared" si="920"/>
        <v>OK!</v>
      </c>
      <c r="S244" s="407" t="str">
        <f t="shared" si="921"/>
        <v>OK!</v>
      </c>
      <c r="T244" s="407" t="str">
        <f t="shared" si="922"/>
        <v>OK!</v>
      </c>
    </row>
    <row r="245" spans="1:20" x14ac:dyDescent="0.15">
      <c r="A245" s="555" t="str">
        <f>A$11</f>
        <v>Tavanet e përgjithshme</v>
      </c>
      <c r="B245" s="556"/>
      <c r="C245" s="563">
        <f>C251+C257</f>
        <v>0</v>
      </c>
      <c r="D245" s="563">
        <f t="shared" ref="D245:E245" si="924">D251+D257</f>
        <v>0</v>
      </c>
      <c r="E245" s="563">
        <f t="shared" si="924"/>
        <v>0</v>
      </c>
      <c r="F245" s="407" t="str">
        <f>IF(C245&lt;0,"STOPP!","OK!")</f>
        <v>OK!</v>
      </c>
      <c r="G245" s="407" t="str">
        <f t="shared" ref="G245:G246" si="925">IF(D245&lt;0,"STOPP!","OK!")</f>
        <v>OK!</v>
      </c>
      <c r="H245" s="407" t="str">
        <f t="shared" ref="H245:H246" si="926">IF(E245&lt;0,"STOPP!","OK!")</f>
        <v>OK!</v>
      </c>
      <c r="I245" s="407" t="str">
        <f t="shared" ref="I245:I246" si="927">IF(F245&lt;0,"STOPP!","OK!")</f>
        <v>OK!</v>
      </c>
      <c r="J245" s="407" t="str">
        <f t="shared" ref="J245:J246" si="928">IF(G245&lt;0,"STOPP!","OK!")</f>
        <v>OK!</v>
      </c>
      <c r="K245" s="407" t="str">
        <f t="shared" ref="K245:K246" si="929">IF(H245&lt;0,"STOPP!","OK!")</f>
        <v>OK!</v>
      </c>
      <c r="L245" s="407" t="str">
        <f t="shared" ref="L245:L246" si="930">IF(I245&lt;0,"STOPP!","OK!")</f>
        <v>OK!</v>
      </c>
      <c r="M245" s="407" t="str">
        <f t="shared" ref="M245:M246" si="931">IF(J245&lt;0,"STOPP!","OK!")</f>
        <v>OK!</v>
      </c>
      <c r="N245" s="407" t="str">
        <f t="shared" ref="N245:N246" si="932">IF(K245&lt;0,"STOPP!","OK!")</f>
        <v>OK!</v>
      </c>
      <c r="O245" s="407" t="str">
        <f t="shared" ref="O245:O246" si="933">IF(L245&lt;0,"STOPP!","OK!")</f>
        <v>OK!</v>
      </c>
      <c r="P245" s="407" t="str">
        <f t="shared" ref="P245:P246" si="934">IF(M245&lt;0,"STOPP!","OK!")</f>
        <v>OK!</v>
      </c>
      <c r="Q245" s="407" t="str">
        <f t="shared" ref="Q245:Q246" si="935">IF(N245&lt;0,"STOPP!","OK!")</f>
        <v>OK!</v>
      </c>
      <c r="R245" s="407" t="str">
        <f t="shared" ref="R245:R246" si="93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7" t="str">
        <f>A$12</f>
        <v>Angazhimet kujtesë</v>
      </c>
      <c r="B246" s="563"/>
      <c r="C246" s="563">
        <f>'(C5) Angazhimet'!D90</f>
        <v>0</v>
      </c>
      <c r="D246" s="561">
        <f>'(C5) Angazhimet'!E90</f>
        <v>0</v>
      </c>
      <c r="E246" s="561">
        <f>'(C5) Angazhimet'!F90</f>
        <v>0</v>
      </c>
      <c r="F246" s="407" t="str">
        <f>IF(C246&gt;C245,"STOPP!","OK!")</f>
        <v>OK!</v>
      </c>
      <c r="G246" s="407" t="str">
        <f t="shared" si="925"/>
        <v>OK!</v>
      </c>
      <c r="H246" s="407" t="str">
        <f t="shared" si="926"/>
        <v>OK!</v>
      </c>
      <c r="I246" s="407" t="str">
        <f t="shared" si="927"/>
        <v>OK!</v>
      </c>
      <c r="J246" s="407" t="str">
        <f t="shared" si="928"/>
        <v>OK!</v>
      </c>
      <c r="K246" s="407" t="str">
        <f t="shared" si="929"/>
        <v>OK!</v>
      </c>
      <c r="L246" s="407" t="str">
        <f t="shared" si="930"/>
        <v>OK!</v>
      </c>
      <c r="M246" s="407" t="str">
        <f t="shared" si="931"/>
        <v>OK!</v>
      </c>
      <c r="N246" s="407" t="str">
        <f t="shared" si="932"/>
        <v>OK!</v>
      </c>
      <c r="O246" s="407" t="str">
        <f t="shared" si="933"/>
        <v>OK!</v>
      </c>
      <c r="P246" s="407" t="str">
        <f t="shared" si="934"/>
        <v>OK!</v>
      </c>
      <c r="Q246" s="407" t="str">
        <f t="shared" si="935"/>
        <v>OK!</v>
      </c>
      <c r="R246" s="407" t="str">
        <f t="shared" si="93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7" t="str">
        <f>'(B3) Struktura Funksionale'!B77</f>
        <v>06140</v>
      </c>
      <c r="B247" s="891" t="str">
        <f>'(B3) Struktura Funksionale'!C77</f>
        <v>Planifikimi Urban Vendor</v>
      </c>
      <c r="C247" s="892"/>
      <c r="D247" s="892"/>
      <c r="E247" s="893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/>
      <c r="D248" s="287"/>
      <c r="E248" s="287"/>
      <c r="F248" s="407" t="str">
        <f t="shared" ref="F248:F250" si="937">IF(C248&lt;0,"STOPP!","OK!")</f>
        <v>OK!</v>
      </c>
      <c r="G248" s="407" t="str">
        <f t="shared" ref="G248:G252" si="938">IF(D248&lt;0,"STOPP!","OK!")</f>
        <v>OK!</v>
      </c>
      <c r="H248" s="407" t="str">
        <f t="shared" ref="H248:H252" si="939">IF(E248&lt;0,"STOPP!","OK!")</f>
        <v>OK!</v>
      </c>
      <c r="I248" s="407" t="str">
        <f t="shared" ref="I248:I252" si="940">IF(F248&lt;0,"STOPP!","OK!")</f>
        <v>OK!</v>
      </c>
      <c r="J248" s="407" t="str">
        <f t="shared" ref="J248:J252" si="941">IF(G248&lt;0,"STOPP!","OK!")</f>
        <v>OK!</v>
      </c>
      <c r="K248" s="407" t="str">
        <f t="shared" ref="K248:K252" si="942">IF(H248&lt;0,"STOPP!","OK!")</f>
        <v>OK!</v>
      </c>
      <c r="L248" s="407" t="str">
        <f t="shared" ref="L248:L252" si="943">IF(I248&lt;0,"STOPP!","OK!")</f>
        <v>OK!</v>
      </c>
      <c r="M248" s="407" t="str">
        <f t="shared" ref="M248:M252" si="944">IF(J248&lt;0,"STOPP!","OK!")</f>
        <v>OK!</v>
      </c>
      <c r="N248" s="407" t="str">
        <f t="shared" ref="N248:N252" si="945">IF(K248&lt;0,"STOPP!","OK!")</f>
        <v>OK!</v>
      </c>
      <c r="O248" s="407" t="str">
        <f t="shared" ref="O248:O252" si="946">IF(L248&lt;0,"STOPP!","OK!")</f>
        <v>OK!</v>
      </c>
      <c r="P248" s="407" t="str">
        <f t="shared" ref="P248:P252" si="947">IF(M248&lt;0,"STOPP!","OK!")</f>
        <v>OK!</v>
      </c>
      <c r="Q248" s="407" t="str">
        <f t="shared" ref="Q248:Q252" si="948">IF(N248&lt;0,"STOPP!","OK!")</f>
        <v>OK!</v>
      </c>
      <c r="R248" s="407" t="str">
        <f t="shared" ref="R248:R252" si="949">IF(O248&lt;0,"STOPP!","OK!")</f>
        <v>OK!</v>
      </c>
      <c r="S248" s="407" t="str">
        <f t="shared" ref="S248:S250" si="950">IF(D248&lt;0,"STOPP!","OK!")</f>
        <v>OK!</v>
      </c>
      <c r="T248" s="407" t="str">
        <f t="shared" ref="T248:T250" si="95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/>
      <c r="D249" s="288"/>
      <c r="E249" s="288"/>
      <c r="F249" s="407" t="str">
        <f t="shared" si="937"/>
        <v>OK!</v>
      </c>
      <c r="G249" s="407" t="str">
        <f t="shared" si="938"/>
        <v>OK!</v>
      </c>
      <c r="H249" s="407" t="str">
        <f t="shared" si="939"/>
        <v>OK!</v>
      </c>
      <c r="I249" s="407" t="str">
        <f t="shared" si="940"/>
        <v>OK!</v>
      </c>
      <c r="J249" s="407" t="str">
        <f t="shared" si="941"/>
        <v>OK!</v>
      </c>
      <c r="K249" s="407" t="str">
        <f t="shared" si="942"/>
        <v>OK!</v>
      </c>
      <c r="L249" s="407" t="str">
        <f t="shared" si="943"/>
        <v>OK!</v>
      </c>
      <c r="M249" s="407" t="str">
        <f t="shared" si="944"/>
        <v>OK!</v>
      </c>
      <c r="N249" s="407" t="str">
        <f t="shared" si="945"/>
        <v>OK!</v>
      </c>
      <c r="O249" s="407" t="str">
        <f t="shared" si="946"/>
        <v>OK!</v>
      </c>
      <c r="P249" s="407" t="str">
        <f t="shared" si="947"/>
        <v>OK!</v>
      </c>
      <c r="Q249" s="407" t="str">
        <f t="shared" si="948"/>
        <v>OK!</v>
      </c>
      <c r="R249" s="407" t="str">
        <f t="shared" si="949"/>
        <v>OK!</v>
      </c>
      <c r="S249" s="407" t="str">
        <f t="shared" si="950"/>
        <v>OK!</v>
      </c>
      <c r="T249" s="407" t="str">
        <f t="shared" si="951"/>
        <v>OK!</v>
      </c>
    </row>
    <row r="250" spans="1:20" x14ac:dyDescent="0.15">
      <c r="A250" s="565" t="str">
        <f>A$10</f>
        <v>Shpenzimet kapitale</v>
      </c>
      <c r="B250" s="566"/>
      <c r="C250" s="563">
        <f>C251-C248-C249</f>
        <v>0</v>
      </c>
      <c r="D250" s="561">
        <f>D251-D248-D249</f>
        <v>0</v>
      </c>
      <c r="E250" s="561">
        <f>E251-E248-E249</f>
        <v>0</v>
      </c>
      <c r="F250" s="407" t="str">
        <f t="shared" si="937"/>
        <v>OK!</v>
      </c>
      <c r="G250" s="407" t="str">
        <f t="shared" si="938"/>
        <v>OK!</v>
      </c>
      <c r="H250" s="407" t="str">
        <f t="shared" si="939"/>
        <v>OK!</v>
      </c>
      <c r="I250" s="407" t="str">
        <f t="shared" si="940"/>
        <v>OK!</v>
      </c>
      <c r="J250" s="407" t="str">
        <f t="shared" si="941"/>
        <v>OK!</v>
      </c>
      <c r="K250" s="407" t="str">
        <f t="shared" si="942"/>
        <v>OK!</v>
      </c>
      <c r="L250" s="407" t="str">
        <f t="shared" si="943"/>
        <v>OK!</v>
      </c>
      <c r="M250" s="407" t="str">
        <f t="shared" si="944"/>
        <v>OK!</v>
      </c>
      <c r="N250" s="407" t="str">
        <f t="shared" si="945"/>
        <v>OK!</v>
      </c>
      <c r="O250" s="407" t="str">
        <f t="shared" si="946"/>
        <v>OK!</v>
      </c>
      <c r="P250" s="407" t="str">
        <f t="shared" si="947"/>
        <v>OK!</v>
      </c>
      <c r="Q250" s="407" t="str">
        <f t="shared" si="948"/>
        <v>OK!</v>
      </c>
      <c r="R250" s="407" t="str">
        <f t="shared" si="949"/>
        <v>OK!</v>
      </c>
      <c r="S250" s="407" t="str">
        <f t="shared" si="950"/>
        <v>OK!</v>
      </c>
      <c r="T250" s="407" t="str">
        <f t="shared" si="951"/>
        <v>OK!</v>
      </c>
    </row>
    <row r="251" spans="1:20" x14ac:dyDescent="0.15">
      <c r="A251" s="555" t="str">
        <f>A$11</f>
        <v>Tavanet e përgjithshme</v>
      </c>
      <c r="B251" s="556"/>
      <c r="C251" s="564"/>
      <c r="D251" s="562"/>
      <c r="E251" s="562"/>
      <c r="F251" s="407" t="str">
        <f>IF(C251&lt;0,"STOPP!","OK!")</f>
        <v>OK!</v>
      </c>
      <c r="G251" s="407" t="str">
        <f t="shared" si="938"/>
        <v>OK!</v>
      </c>
      <c r="H251" s="407" t="str">
        <f t="shared" si="939"/>
        <v>OK!</v>
      </c>
      <c r="I251" s="407" t="str">
        <f t="shared" si="940"/>
        <v>OK!</v>
      </c>
      <c r="J251" s="407" t="str">
        <f t="shared" si="941"/>
        <v>OK!</v>
      </c>
      <c r="K251" s="407" t="str">
        <f t="shared" si="942"/>
        <v>OK!</v>
      </c>
      <c r="L251" s="407" t="str">
        <f t="shared" si="943"/>
        <v>OK!</v>
      </c>
      <c r="M251" s="407" t="str">
        <f t="shared" si="944"/>
        <v>OK!</v>
      </c>
      <c r="N251" s="407" t="str">
        <f t="shared" si="945"/>
        <v>OK!</v>
      </c>
      <c r="O251" s="407" t="str">
        <f t="shared" si="946"/>
        <v>OK!</v>
      </c>
      <c r="P251" s="407" t="str">
        <f t="shared" si="947"/>
        <v>OK!</v>
      </c>
      <c r="Q251" s="407" t="str">
        <f t="shared" si="948"/>
        <v>OK!</v>
      </c>
      <c r="R251" s="407" t="str">
        <f t="shared" si="94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7" t="str">
        <f>A$12</f>
        <v>Angazhimet kujtesë</v>
      </c>
      <c r="B252" s="563"/>
      <c r="C252" s="563">
        <f>'(C5) Angazhimet'!D87</f>
        <v>0</v>
      </c>
      <c r="D252" s="563">
        <f>'(C5) Angazhimet'!E87</f>
        <v>0</v>
      </c>
      <c r="E252" s="563">
        <f>'(C5) Angazhimet'!F87</f>
        <v>0</v>
      </c>
      <c r="F252" s="407" t="str">
        <f>IF(C252&gt;C251,"STOPP!","OK!")</f>
        <v>OK!</v>
      </c>
      <c r="G252" s="407" t="str">
        <f t="shared" si="938"/>
        <v>OK!</v>
      </c>
      <c r="H252" s="407" t="str">
        <f t="shared" si="939"/>
        <v>OK!</v>
      </c>
      <c r="I252" s="407" t="str">
        <f t="shared" si="940"/>
        <v>OK!</v>
      </c>
      <c r="J252" s="407" t="str">
        <f t="shared" si="941"/>
        <v>OK!</v>
      </c>
      <c r="K252" s="407" t="str">
        <f t="shared" si="942"/>
        <v>OK!</v>
      </c>
      <c r="L252" s="407" t="str">
        <f t="shared" si="943"/>
        <v>OK!</v>
      </c>
      <c r="M252" s="407" t="str">
        <f t="shared" si="944"/>
        <v>OK!</v>
      </c>
      <c r="N252" s="407" t="str">
        <f t="shared" si="945"/>
        <v>OK!</v>
      </c>
      <c r="O252" s="407" t="str">
        <f t="shared" si="946"/>
        <v>OK!</v>
      </c>
      <c r="P252" s="407" t="str">
        <f t="shared" si="947"/>
        <v>OK!</v>
      </c>
      <c r="Q252" s="407" t="str">
        <f t="shared" si="948"/>
        <v>OK!</v>
      </c>
      <c r="R252" s="407" t="str">
        <f t="shared" si="94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7" t="str">
        <f>'(B3) Struktura Funksionale'!B78</f>
        <v>06180</v>
      </c>
      <c r="B253" s="891" t="str">
        <f>'(B3) Struktura Funksionale'!C78</f>
        <v>Planifikimi urban dhe strehimi</v>
      </c>
      <c r="C253" s="892"/>
      <c r="D253" s="892"/>
      <c r="E253" s="893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52">IF(C254&lt;0,"STOPP!","OK!")</f>
        <v>OK!</v>
      </c>
      <c r="G254" s="407" t="str">
        <f t="shared" ref="G254:G258" si="953">IF(D254&lt;0,"STOPP!","OK!")</f>
        <v>OK!</v>
      </c>
      <c r="H254" s="407" t="str">
        <f t="shared" ref="H254:H258" si="954">IF(E254&lt;0,"STOPP!","OK!")</f>
        <v>OK!</v>
      </c>
      <c r="I254" s="407" t="str">
        <f t="shared" ref="I254:I258" si="955">IF(F254&lt;0,"STOPP!","OK!")</f>
        <v>OK!</v>
      </c>
      <c r="J254" s="407" t="str">
        <f t="shared" ref="J254:J258" si="956">IF(G254&lt;0,"STOPP!","OK!")</f>
        <v>OK!</v>
      </c>
      <c r="K254" s="407" t="str">
        <f t="shared" ref="K254:K258" si="957">IF(H254&lt;0,"STOPP!","OK!")</f>
        <v>OK!</v>
      </c>
      <c r="L254" s="407" t="str">
        <f t="shared" ref="L254:L258" si="958">IF(I254&lt;0,"STOPP!","OK!")</f>
        <v>OK!</v>
      </c>
      <c r="M254" s="407" t="str">
        <f t="shared" ref="M254:M258" si="959">IF(J254&lt;0,"STOPP!","OK!")</f>
        <v>OK!</v>
      </c>
      <c r="N254" s="407" t="str">
        <f t="shared" ref="N254:N258" si="960">IF(K254&lt;0,"STOPP!","OK!")</f>
        <v>OK!</v>
      </c>
      <c r="O254" s="407" t="str">
        <f t="shared" ref="O254:O258" si="961">IF(L254&lt;0,"STOPP!","OK!")</f>
        <v>OK!</v>
      </c>
      <c r="P254" s="407" t="str">
        <f t="shared" ref="P254:P258" si="962">IF(M254&lt;0,"STOPP!","OK!")</f>
        <v>OK!</v>
      </c>
      <c r="Q254" s="407" t="str">
        <f t="shared" ref="Q254:Q258" si="963">IF(N254&lt;0,"STOPP!","OK!")</f>
        <v>OK!</v>
      </c>
      <c r="R254" s="407" t="str">
        <f t="shared" ref="R254:R258" si="964">IF(O254&lt;0,"STOPP!","OK!")</f>
        <v>OK!</v>
      </c>
      <c r="S254" s="407" t="str">
        <f t="shared" ref="S254:S256" si="965">IF(D254&lt;0,"STOPP!","OK!")</f>
        <v>OK!</v>
      </c>
      <c r="T254" s="407" t="str">
        <f t="shared" ref="T254:T256" si="96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52"/>
        <v>OK!</v>
      </c>
      <c r="G255" s="407" t="str">
        <f t="shared" si="953"/>
        <v>OK!</v>
      </c>
      <c r="H255" s="407" t="str">
        <f t="shared" si="954"/>
        <v>OK!</v>
      </c>
      <c r="I255" s="407" t="str">
        <f t="shared" si="955"/>
        <v>OK!</v>
      </c>
      <c r="J255" s="407" t="str">
        <f t="shared" si="956"/>
        <v>OK!</v>
      </c>
      <c r="K255" s="407" t="str">
        <f t="shared" si="957"/>
        <v>OK!</v>
      </c>
      <c r="L255" s="407" t="str">
        <f t="shared" si="958"/>
        <v>OK!</v>
      </c>
      <c r="M255" s="407" t="str">
        <f t="shared" si="959"/>
        <v>OK!</v>
      </c>
      <c r="N255" s="407" t="str">
        <f t="shared" si="960"/>
        <v>OK!</v>
      </c>
      <c r="O255" s="407" t="str">
        <f t="shared" si="961"/>
        <v>OK!</v>
      </c>
      <c r="P255" s="407" t="str">
        <f t="shared" si="962"/>
        <v>OK!</v>
      </c>
      <c r="Q255" s="407" t="str">
        <f t="shared" si="963"/>
        <v>OK!</v>
      </c>
      <c r="R255" s="407" t="str">
        <f t="shared" si="964"/>
        <v>OK!</v>
      </c>
      <c r="S255" s="407" t="str">
        <f t="shared" si="965"/>
        <v>OK!</v>
      </c>
      <c r="T255" s="407" t="str">
        <f t="shared" si="966"/>
        <v>OK!</v>
      </c>
    </row>
    <row r="256" spans="1:20" hidden="1" x14ac:dyDescent="0.15">
      <c r="A256" s="565" t="str">
        <f>A$10</f>
        <v>Shpenzimet kapitale</v>
      </c>
      <c r="B256" s="566"/>
      <c r="C256" s="563">
        <f>C257-C254-C255</f>
        <v>0</v>
      </c>
      <c r="D256" s="561">
        <f>D257-D254-D255</f>
        <v>0</v>
      </c>
      <c r="E256" s="561">
        <f>E257-E254-E255</f>
        <v>0</v>
      </c>
      <c r="F256" s="407" t="str">
        <f t="shared" si="952"/>
        <v>OK!</v>
      </c>
      <c r="G256" s="407" t="str">
        <f t="shared" si="953"/>
        <v>OK!</v>
      </c>
      <c r="H256" s="407" t="str">
        <f t="shared" si="954"/>
        <v>OK!</v>
      </c>
      <c r="I256" s="407" t="str">
        <f t="shared" si="955"/>
        <v>OK!</v>
      </c>
      <c r="J256" s="407" t="str">
        <f t="shared" si="956"/>
        <v>OK!</v>
      </c>
      <c r="K256" s="407" t="str">
        <f t="shared" si="957"/>
        <v>OK!</v>
      </c>
      <c r="L256" s="407" t="str">
        <f t="shared" si="958"/>
        <v>OK!</v>
      </c>
      <c r="M256" s="407" t="str">
        <f t="shared" si="959"/>
        <v>OK!</v>
      </c>
      <c r="N256" s="407" t="str">
        <f t="shared" si="960"/>
        <v>OK!</v>
      </c>
      <c r="O256" s="407" t="str">
        <f t="shared" si="961"/>
        <v>OK!</v>
      </c>
      <c r="P256" s="407" t="str">
        <f t="shared" si="962"/>
        <v>OK!</v>
      </c>
      <c r="Q256" s="407" t="str">
        <f t="shared" si="963"/>
        <v>OK!</v>
      </c>
      <c r="R256" s="407" t="str">
        <f t="shared" si="964"/>
        <v>OK!</v>
      </c>
      <c r="S256" s="407" t="str">
        <f t="shared" si="965"/>
        <v>OK!</v>
      </c>
      <c r="T256" s="407" t="str">
        <f t="shared" si="966"/>
        <v>OK!</v>
      </c>
    </row>
    <row r="257" spans="1:20" hidden="1" x14ac:dyDescent="0.15">
      <c r="A257" s="555" t="str">
        <f>A$11</f>
        <v>Tavanet e përgjithshme</v>
      </c>
      <c r="B257" s="556"/>
      <c r="C257" s="564"/>
      <c r="D257" s="562"/>
      <c r="E257" s="562"/>
      <c r="F257" s="407" t="str">
        <f>IF(C257&lt;0,"STOPP!","OK!")</f>
        <v>OK!</v>
      </c>
      <c r="G257" s="407" t="str">
        <f t="shared" si="953"/>
        <v>OK!</v>
      </c>
      <c r="H257" s="407" t="str">
        <f t="shared" si="954"/>
        <v>OK!</v>
      </c>
      <c r="I257" s="407" t="str">
        <f t="shared" si="955"/>
        <v>OK!</v>
      </c>
      <c r="J257" s="407" t="str">
        <f t="shared" si="956"/>
        <v>OK!</v>
      </c>
      <c r="K257" s="407" t="str">
        <f t="shared" si="957"/>
        <v>OK!</v>
      </c>
      <c r="L257" s="407" t="str">
        <f t="shared" si="958"/>
        <v>OK!</v>
      </c>
      <c r="M257" s="407" t="str">
        <f t="shared" si="959"/>
        <v>OK!</v>
      </c>
      <c r="N257" s="407" t="str">
        <f t="shared" si="960"/>
        <v>OK!</v>
      </c>
      <c r="O257" s="407" t="str">
        <f t="shared" si="961"/>
        <v>OK!</v>
      </c>
      <c r="P257" s="407" t="str">
        <f t="shared" si="962"/>
        <v>OK!</v>
      </c>
      <c r="Q257" s="407" t="str">
        <f t="shared" si="963"/>
        <v>OK!</v>
      </c>
      <c r="R257" s="407" t="str">
        <f t="shared" si="96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7" t="str">
        <f>A$12</f>
        <v>Angazhimet kujtesë</v>
      </c>
      <c r="B258" s="563"/>
      <c r="C258" s="563">
        <f>'(C5) Angazhimet'!D88</f>
        <v>0</v>
      </c>
      <c r="D258" s="563">
        <f>'(C5) Angazhimet'!E88</f>
        <v>0</v>
      </c>
      <c r="E258" s="563">
        <f>'(C5) Angazhimet'!F88</f>
        <v>0</v>
      </c>
      <c r="F258" s="407" t="str">
        <f>IF(C258&gt;C257,"STOPP!","OK!")</f>
        <v>OK!</v>
      </c>
      <c r="G258" s="407" t="str">
        <f t="shared" si="953"/>
        <v>OK!</v>
      </c>
      <c r="H258" s="407" t="str">
        <f t="shared" si="954"/>
        <v>OK!</v>
      </c>
      <c r="I258" s="407" t="str">
        <f t="shared" si="955"/>
        <v>OK!</v>
      </c>
      <c r="J258" s="407" t="str">
        <f t="shared" si="956"/>
        <v>OK!</v>
      </c>
      <c r="K258" s="407" t="str">
        <f t="shared" si="957"/>
        <v>OK!</v>
      </c>
      <c r="L258" s="407" t="str">
        <f t="shared" si="958"/>
        <v>OK!</v>
      </c>
      <c r="M258" s="407" t="str">
        <f t="shared" si="959"/>
        <v>OK!</v>
      </c>
      <c r="N258" s="407" t="str">
        <f t="shared" si="960"/>
        <v>OK!</v>
      </c>
      <c r="O258" s="407" t="str">
        <f t="shared" si="961"/>
        <v>OK!</v>
      </c>
      <c r="P258" s="407" t="str">
        <f t="shared" si="962"/>
        <v>OK!</v>
      </c>
      <c r="Q258" s="407" t="str">
        <f t="shared" si="963"/>
        <v>OK!</v>
      </c>
      <c r="R258" s="407" t="str">
        <f t="shared" si="96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6" t="str">
        <f>'(B2) Struktura Organizative'!A42</f>
        <v>Nënfunksioni 15</v>
      </c>
      <c r="B259" s="894" t="str">
        <f>'(B2) Struktura Organizative'!B42</f>
        <v>062 Zhvillimi i komunitetit</v>
      </c>
      <c r="C259" s="895"/>
      <c r="D259" s="895"/>
      <c r="E259" s="896"/>
      <c r="G259" s="312">
        <f>C263</f>
        <v>165101</v>
      </c>
      <c r="H259" s="312">
        <f t="shared" ref="H259" si="967">D263</f>
        <v>165101</v>
      </c>
      <c r="I259" s="312">
        <f t="shared" ref="I259" si="968">E263</f>
        <v>171101</v>
      </c>
      <c r="J259" s="312">
        <f>C260</f>
        <v>77280</v>
      </c>
      <c r="K259" s="312">
        <f t="shared" ref="K259" si="969">D260</f>
        <v>77280</v>
      </c>
      <c r="L259" s="312">
        <f t="shared" ref="L259" si="970">E260</f>
        <v>79280</v>
      </c>
      <c r="M259" s="312">
        <f>C261</f>
        <v>66003</v>
      </c>
      <c r="N259" s="312">
        <f t="shared" ref="N259" si="971">D261</f>
        <v>66003</v>
      </c>
      <c r="O259" s="312">
        <f t="shared" ref="O259" si="972">E261</f>
        <v>66003</v>
      </c>
      <c r="P259" s="312">
        <f>C262</f>
        <v>21818</v>
      </c>
      <c r="Q259" s="312">
        <f t="shared" ref="Q259" si="973">D262</f>
        <v>21818</v>
      </c>
      <c r="R259" s="312">
        <f t="shared" ref="R259" si="974">E262</f>
        <v>25818</v>
      </c>
    </row>
    <row r="260" spans="1:20" x14ac:dyDescent="0.15">
      <c r="A260" s="286" t="str">
        <f>A$8</f>
        <v>Pagat dhe sigurimet shoqërore</v>
      </c>
      <c r="B260" s="286"/>
      <c r="C260" s="563">
        <f>C266+C272</f>
        <v>77280</v>
      </c>
      <c r="D260" s="563">
        <f t="shared" ref="D260:E260" si="975">D266+D272</f>
        <v>77280</v>
      </c>
      <c r="E260" s="563">
        <f t="shared" si="975"/>
        <v>79280</v>
      </c>
      <c r="F260" s="407" t="str">
        <f t="shared" ref="F260:F262" si="976">IF(C260&lt;0,"STOPP!","OK!")</f>
        <v>OK!</v>
      </c>
      <c r="G260" s="407" t="str">
        <f t="shared" ref="G260:G262" si="977">IF(D260&lt;0,"STOPP!","OK!")</f>
        <v>OK!</v>
      </c>
      <c r="H260" s="407" t="str">
        <f t="shared" ref="H260:H262" si="978">IF(E260&lt;0,"STOPP!","OK!")</f>
        <v>OK!</v>
      </c>
      <c r="I260" s="407" t="str">
        <f t="shared" ref="I260:I262" si="979">IF(F260&lt;0,"STOPP!","OK!")</f>
        <v>OK!</v>
      </c>
      <c r="J260" s="407" t="str">
        <f t="shared" ref="J260:J262" si="980">IF(G260&lt;0,"STOPP!","OK!")</f>
        <v>OK!</v>
      </c>
      <c r="K260" s="407" t="str">
        <f t="shared" ref="K260:K262" si="981">IF(H260&lt;0,"STOPP!","OK!")</f>
        <v>OK!</v>
      </c>
      <c r="L260" s="407" t="str">
        <f t="shared" ref="L260:L262" si="982">IF(I260&lt;0,"STOPP!","OK!")</f>
        <v>OK!</v>
      </c>
      <c r="M260" s="407" t="str">
        <f t="shared" ref="M260:M262" si="983">IF(J260&lt;0,"STOPP!","OK!")</f>
        <v>OK!</v>
      </c>
      <c r="N260" s="407" t="str">
        <f t="shared" ref="N260:N262" si="984">IF(K260&lt;0,"STOPP!","OK!")</f>
        <v>OK!</v>
      </c>
      <c r="O260" s="407" t="str">
        <f t="shared" ref="O260:O262" si="985">IF(L260&lt;0,"STOPP!","OK!")</f>
        <v>OK!</v>
      </c>
      <c r="P260" s="407" t="str">
        <f t="shared" ref="P260:P262" si="986">IF(M260&lt;0,"STOPP!","OK!")</f>
        <v>OK!</v>
      </c>
      <c r="Q260" s="407" t="str">
        <f t="shared" ref="Q260:Q262" si="987">IF(N260&lt;0,"STOPP!","OK!")</f>
        <v>OK!</v>
      </c>
      <c r="R260" s="407" t="str">
        <f t="shared" ref="R260:R262" si="988">IF(O260&lt;0,"STOPP!","OK!")</f>
        <v>OK!</v>
      </c>
      <c r="S260" s="407" t="str">
        <f t="shared" ref="S260:S262" si="989">IF(D260&lt;0,"STOPP!","OK!")</f>
        <v>OK!</v>
      </c>
      <c r="T260" s="407" t="str">
        <f t="shared" ref="T260:T262" si="99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3">
        <f>C267+C273</f>
        <v>66003</v>
      </c>
      <c r="D261" s="563">
        <f t="shared" ref="D261:E261" si="991">D267+D273</f>
        <v>66003</v>
      </c>
      <c r="E261" s="563">
        <f t="shared" si="991"/>
        <v>66003</v>
      </c>
      <c r="F261" s="407" t="str">
        <f t="shared" si="976"/>
        <v>OK!</v>
      </c>
      <c r="G261" s="407" t="str">
        <f t="shared" si="977"/>
        <v>OK!</v>
      </c>
      <c r="H261" s="407" t="str">
        <f t="shared" si="978"/>
        <v>OK!</v>
      </c>
      <c r="I261" s="407" t="str">
        <f t="shared" si="979"/>
        <v>OK!</v>
      </c>
      <c r="J261" s="407" t="str">
        <f t="shared" si="980"/>
        <v>OK!</v>
      </c>
      <c r="K261" s="407" t="str">
        <f t="shared" si="981"/>
        <v>OK!</v>
      </c>
      <c r="L261" s="407" t="str">
        <f t="shared" si="982"/>
        <v>OK!</v>
      </c>
      <c r="M261" s="407" t="str">
        <f t="shared" si="983"/>
        <v>OK!</v>
      </c>
      <c r="N261" s="407" t="str">
        <f t="shared" si="984"/>
        <v>OK!</v>
      </c>
      <c r="O261" s="407" t="str">
        <f t="shared" si="985"/>
        <v>OK!</v>
      </c>
      <c r="P261" s="407" t="str">
        <f t="shared" si="986"/>
        <v>OK!</v>
      </c>
      <c r="Q261" s="407" t="str">
        <f t="shared" si="987"/>
        <v>OK!</v>
      </c>
      <c r="R261" s="407" t="str">
        <f t="shared" si="988"/>
        <v>OK!</v>
      </c>
      <c r="S261" s="407" t="str">
        <f t="shared" si="989"/>
        <v>OK!</v>
      </c>
      <c r="T261" s="407" t="str">
        <f t="shared" si="990"/>
        <v>OK!</v>
      </c>
    </row>
    <row r="262" spans="1:20" x14ac:dyDescent="0.15">
      <c r="A262" s="565" t="str">
        <f>A$10</f>
        <v>Shpenzimet kapitale</v>
      </c>
      <c r="B262" s="566"/>
      <c r="C262" s="563">
        <f>C263-C260-C261</f>
        <v>21818</v>
      </c>
      <c r="D262" s="561">
        <f>D263-D260-D261</f>
        <v>21818</v>
      </c>
      <c r="E262" s="561">
        <f>E263-E260-E261</f>
        <v>25818</v>
      </c>
      <c r="F262" s="407" t="str">
        <f t="shared" si="976"/>
        <v>OK!</v>
      </c>
      <c r="G262" s="407" t="str">
        <f t="shared" si="977"/>
        <v>OK!</v>
      </c>
      <c r="H262" s="407" t="str">
        <f t="shared" si="978"/>
        <v>OK!</v>
      </c>
      <c r="I262" s="407" t="str">
        <f t="shared" si="979"/>
        <v>OK!</v>
      </c>
      <c r="J262" s="407" t="str">
        <f t="shared" si="980"/>
        <v>OK!</v>
      </c>
      <c r="K262" s="407" t="str">
        <f t="shared" si="981"/>
        <v>OK!</v>
      </c>
      <c r="L262" s="407" t="str">
        <f t="shared" si="982"/>
        <v>OK!</v>
      </c>
      <c r="M262" s="407" t="str">
        <f t="shared" si="983"/>
        <v>OK!</v>
      </c>
      <c r="N262" s="407" t="str">
        <f t="shared" si="984"/>
        <v>OK!</v>
      </c>
      <c r="O262" s="407" t="str">
        <f t="shared" si="985"/>
        <v>OK!</v>
      </c>
      <c r="P262" s="407" t="str">
        <f t="shared" si="986"/>
        <v>OK!</v>
      </c>
      <c r="Q262" s="407" t="str">
        <f t="shared" si="987"/>
        <v>OK!</v>
      </c>
      <c r="R262" s="407" t="str">
        <f t="shared" si="988"/>
        <v>OK!</v>
      </c>
      <c r="S262" s="407" t="str">
        <f t="shared" si="989"/>
        <v>OK!</v>
      </c>
      <c r="T262" s="407" t="str">
        <f t="shared" si="990"/>
        <v>OK!</v>
      </c>
    </row>
    <row r="263" spans="1:20" x14ac:dyDescent="0.15">
      <c r="A263" s="555" t="str">
        <f>A$11</f>
        <v>Tavanet e përgjithshme</v>
      </c>
      <c r="B263" s="556"/>
      <c r="C263" s="563">
        <f>C269+C275</f>
        <v>165101</v>
      </c>
      <c r="D263" s="563">
        <f t="shared" ref="D263:E263" si="992">D269+D275</f>
        <v>165101</v>
      </c>
      <c r="E263" s="563">
        <f t="shared" si="992"/>
        <v>171101</v>
      </c>
      <c r="F263" s="407" t="str">
        <f>IF(C263&lt;0,"STOPP!","OK!")</f>
        <v>OK!</v>
      </c>
      <c r="G263" s="407" t="str">
        <f t="shared" ref="G263:G264" si="993">IF(D263&lt;0,"STOPP!","OK!")</f>
        <v>OK!</v>
      </c>
      <c r="H263" s="407" t="str">
        <f t="shared" ref="H263:H264" si="994">IF(E263&lt;0,"STOPP!","OK!")</f>
        <v>OK!</v>
      </c>
      <c r="I263" s="407" t="str">
        <f t="shared" ref="I263:I264" si="995">IF(F263&lt;0,"STOPP!","OK!")</f>
        <v>OK!</v>
      </c>
      <c r="J263" s="407" t="str">
        <f t="shared" ref="J263:J264" si="996">IF(G263&lt;0,"STOPP!","OK!")</f>
        <v>OK!</v>
      </c>
      <c r="K263" s="407" t="str">
        <f t="shared" ref="K263:K264" si="997">IF(H263&lt;0,"STOPP!","OK!")</f>
        <v>OK!</v>
      </c>
      <c r="L263" s="407" t="str">
        <f t="shared" ref="L263:L264" si="998">IF(I263&lt;0,"STOPP!","OK!")</f>
        <v>OK!</v>
      </c>
      <c r="M263" s="407" t="str">
        <f t="shared" ref="M263:M264" si="999">IF(J263&lt;0,"STOPP!","OK!")</f>
        <v>OK!</v>
      </c>
      <c r="N263" s="407" t="str">
        <f t="shared" ref="N263:N264" si="1000">IF(K263&lt;0,"STOPP!","OK!")</f>
        <v>OK!</v>
      </c>
      <c r="O263" s="407" t="str">
        <f t="shared" ref="O263:O264" si="1001">IF(L263&lt;0,"STOPP!","OK!")</f>
        <v>OK!</v>
      </c>
      <c r="P263" s="407" t="str">
        <f t="shared" ref="P263:P264" si="1002">IF(M263&lt;0,"STOPP!","OK!")</f>
        <v>OK!</v>
      </c>
      <c r="Q263" s="407" t="str">
        <f t="shared" ref="Q263:Q264" si="1003">IF(N263&lt;0,"STOPP!","OK!")</f>
        <v>OK!</v>
      </c>
      <c r="R263" s="407" t="str">
        <f t="shared" ref="R263:R264" si="100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7" t="str">
        <f>A$12</f>
        <v>Angazhimet kujtesë</v>
      </c>
      <c r="B264" s="563"/>
      <c r="C264" s="563">
        <f>'(C5) Angazhimet'!D95</f>
        <v>0</v>
      </c>
      <c r="D264" s="561">
        <f>'(C5) Angazhimet'!E95</f>
        <v>0</v>
      </c>
      <c r="E264" s="561">
        <f>'(C5) Angazhimet'!F95</f>
        <v>0</v>
      </c>
      <c r="F264" s="407" t="str">
        <f>IF(C264&gt;C263,"STOPP!","OK!")</f>
        <v>OK!</v>
      </c>
      <c r="G264" s="407" t="str">
        <f t="shared" si="993"/>
        <v>OK!</v>
      </c>
      <c r="H264" s="407" t="str">
        <f t="shared" si="994"/>
        <v>OK!</v>
      </c>
      <c r="I264" s="407" t="str">
        <f t="shared" si="995"/>
        <v>OK!</v>
      </c>
      <c r="J264" s="407" t="str">
        <f t="shared" si="996"/>
        <v>OK!</v>
      </c>
      <c r="K264" s="407" t="str">
        <f t="shared" si="997"/>
        <v>OK!</v>
      </c>
      <c r="L264" s="407" t="str">
        <f t="shared" si="998"/>
        <v>OK!</v>
      </c>
      <c r="M264" s="407" t="str">
        <f t="shared" si="999"/>
        <v>OK!</v>
      </c>
      <c r="N264" s="407" t="str">
        <f t="shared" si="1000"/>
        <v>OK!</v>
      </c>
      <c r="O264" s="407" t="str">
        <f t="shared" si="1001"/>
        <v>OK!</v>
      </c>
      <c r="P264" s="407" t="str">
        <f t="shared" si="1002"/>
        <v>OK!</v>
      </c>
      <c r="Q264" s="407" t="str">
        <f t="shared" si="1003"/>
        <v>OK!</v>
      </c>
      <c r="R264" s="407" t="str">
        <f t="shared" si="100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7" t="str">
        <f>'(B3) Struktura Funksionale'!B81</f>
        <v>06210</v>
      </c>
      <c r="B265" s="891" t="str">
        <f>'(B3) Struktura Funksionale'!C81</f>
        <v>Programet e zhvillimit</v>
      </c>
      <c r="C265" s="892"/>
      <c r="D265" s="892"/>
      <c r="E265" s="893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1005">IF(C266&lt;0,"STOPP!","OK!")</f>
        <v>OK!</v>
      </c>
      <c r="G266" s="407" t="str">
        <f t="shared" ref="G266:G270" si="1006">IF(D266&lt;0,"STOPP!","OK!")</f>
        <v>OK!</v>
      </c>
      <c r="H266" s="407" t="str">
        <f t="shared" ref="H266:H270" si="1007">IF(E266&lt;0,"STOPP!","OK!")</f>
        <v>OK!</v>
      </c>
      <c r="I266" s="407" t="str">
        <f t="shared" ref="I266:I270" si="1008">IF(F266&lt;0,"STOPP!","OK!")</f>
        <v>OK!</v>
      </c>
      <c r="J266" s="407" t="str">
        <f t="shared" ref="J266:J270" si="1009">IF(G266&lt;0,"STOPP!","OK!")</f>
        <v>OK!</v>
      </c>
      <c r="K266" s="407" t="str">
        <f t="shared" ref="K266:K270" si="1010">IF(H266&lt;0,"STOPP!","OK!")</f>
        <v>OK!</v>
      </c>
      <c r="L266" s="407" t="str">
        <f t="shared" ref="L266:L270" si="1011">IF(I266&lt;0,"STOPP!","OK!")</f>
        <v>OK!</v>
      </c>
      <c r="M266" s="407" t="str">
        <f t="shared" ref="M266:M270" si="1012">IF(J266&lt;0,"STOPP!","OK!")</f>
        <v>OK!</v>
      </c>
      <c r="N266" s="407" t="str">
        <f t="shared" ref="N266:N270" si="1013">IF(K266&lt;0,"STOPP!","OK!")</f>
        <v>OK!</v>
      </c>
      <c r="O266" s="407" t="str">
        <f t="shared" ref="O266:O270" si="1014">IF(L266&lt;0,"STOPP!","OK!")</f>
        <v>OK!</v>
      </c>
      <c r="P266" s="407" t="str">
        <f t="shared" ref="P266:P270" si="1015">IF(M266&lt;0,"STOPP!","OK!")</f>
        <v>OK!</v>
      </c>
      <c r="Q266" s="407" t="str">
        <f t="shared" ref="Q266:Q270" si="1016">IF(N266&lt;0,"STOPP!","OK!")</f>
        <v>OK!</v>
      </c>
      <c r="R266" s="407" t="str">
        <f t="shared" ref="R266:R270" si="1017">IF(O266&lt;0,"STOPP!","OK!")</f>
        <v>OK!</v>
      </c>
      <c r="S266" s="407" t="str">
        <f t="shared" ref="S266:S268" si="1018">IF(D266&lt;0,"STOPP!","OK!")</f>
        <v>OK!</v>
      </c>
      <c r="T266" s="407" t="str">
        <f t="shared" ref="T266:T268" si="101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1005"/>
        <v>OK!</v>
      </c>
      <c r="G267" s="407" t="str">
        <f t="shared" si="1006"/>
        <v>OK!</v>
      </c>
      <c r="H267" s="407" t="str">
        <f t="shared" si="1007"/>
        <v>OK!</v>
      </c>
      <c r="I267" s="407" t="str">
        <f t="shared" si="1008"/>
        <v>OK!</v>
      </c>
      <c r="J267" s="407" t="str">
        <f t="shared" si="1009"/>
        <v>OK!</v>
      </c>
      <c r="K267" s="407" t="str">
        <f t="shared" si="1010"/>
        <v>OK!</v>
      </c>
      <c r="L267" s="407" t="str">
        <f t="shared" si="1011"/>
        <v>OK!</v>
      </c>
      <c r="M267" s="407" t="str">
        <f t="shared" si="1012"/>
        <v>OK!</v>
      </c>
      <c r="N267" s="407" t="str">
        <f t="shared" si="1013"/>
        <v>OK!</v>
      </c>
      <c r="O267" s="407" t="str">
        <f t="shared" si="1014"/>
        <v>OK!</v>
      </c>
      <c r="P267" s="407" t="str">
        <f t="shared" si="1015"/>
        <v>OK!</v>
      </c>
      <c r="Q267" s="407" t="str">
        <f t="shared" si="1016"/>
        <v>OK!</v>
      </c>
      <c r="R267" s="407" t="str">
        <f t="shared" si="1017"/>
        <v>OK!</v>
      </c>
      <c r="S267" s="407" t="str">
        <f t="shared" si="1018"/>
        <v>OK!</v>
      </c>
      <c r="T267" s="407" t="str">
        <f t="shared" si="1019"/>
        <v>OK!</v>
      </c>
    </row>
    <row r="268" spans="1:20" x14ac:dyDescent="0.15">
      <c r="A268" s="565" t="str">
        <f>A$10</f>
        <v>Shpenzimet kapitale</v>
      </c>
      <c r="B268" s="566"/>
      <c r="C268" s="563">
        <f>C269-C266-C267</f>
        <v>0</v>
      </c>
      <c r="D268" s="561">
        <f>D269-D266-D267</f>
        <v>0</v>
      </c>
      <c r="E268" s="561">
        <f>E269-E266-E267</f>
        <v>0</v>
      </c>
      <c r="F268" s="407" t="str">
        <f t="shared" si="1005"/>
        <v>OK!</v>
      </c>
      <c r="G268" s="407" t="str">
        <f t="shared" si="1006"/>
        <v>OK!</v>
      </c>
      <c r="H268" s="407" t="str">
        <f t="shared" si="1007"/>
        <v>OK!</v>
      </c>
      <c r="I268" s="407" t="str">
        <f t="shared" si="1008"/>
        <v>OK!</v>
      </c>
      <c r="J268" s="407" t="str">
        <f t="shared" si="1009"/>
        <v>OK!</v>
      </c>
      <c r="K268" s="407" t="str">
        <f t="shared" si="1010"/>
        <v>OK!</v>
      </c>
      <c r="L268" s="407" t="str">
        <f t="shared" si="1011"/>
        <v>OK!</v>
      </c>
      <c r="M268" s="407" t="str">
        <f t="shared" si="1012"/>
        <v>OK!</v>
      </c>
      <c r="N268" s="407" t="str">
        <f t="shared" si="1013"/>
        <v>OK!</v>
      </c>
      <c r="O268" s="407" t="str">
        <f t="shared" si="1014"/>
        <v>OK!</v>
      </c>
      <c r="P268" s="407" t="str">
        <f t="shared" si="1015"/>
        <v>OK!</v>
      </c>
      <c r="Q268" s="407" t="str">
        <f t="shared" si="1016"/>
        <v>OK!</v>
      </c>
      <c r="R268" s="407" t="str">
        <f t="shared" si="1017"/>
        <v>OK!</v>
      </c>
      <c r="S268" s="407" t="str">
        <f t="shared" si="1018"/>
        <v>OK!</v>
      </c>
      <c r="T268" s="407" t="str">
        <f t="shared" si="1019"/>
        <v>OK!</v>
      </c>
    </row>
    <row r="269" spans="1:20" x14ac:dyDescent="0.15">
      <c r="A269" s="555" t="str">
        <f>A$11</f>
        <v>Tavanet e përgjithshme</v>
      </c>
      <c r="B269" s="556"/>
      <c r="C269" s="564"/>
      <c r="D269" s="562"/>
      <c r="E269" s="562"/>
      <c r="F269" s="407" t="str">
        <f>IF(C269&lt;0,"STOPP!","OK!")</f>
        <v>OK!</v>
      </c>
      <c r="G269" s="407" t="str">
        <f t="shared" si="1006"/>
        <v>OK!</v>
      </c>
      <c r="H269" s="407" t="str">
        <f t="shared" si="1007"/>
        <v>OK!</v>
      </c>
      <c r="I269" s="407" t="str">
        <f t="shared" si="1008"/>
        <v>OK!</v>
      </c>
      <c r="J269" s="407" t="str">
        <f t="shared" si="1009"/>
        <v>OK!</v>
      </c>
      <c r="K269" s="407" t="str">
        <f t="shared" si="1010"/>
        <v>OK!</v>
      </c>
      <c r="L269" s="407" t="str">
        <f t="shared" si="1011"/>
        <v>OK!</v>
      </c>
      <c r="M269" s="407" t="str">
        <f t="shared" si="1012"/>
        <v>OK!</v>
      </c>
      <c r="N269" s="407" t="str">
        <f t="shared" si="1013"/>
        <v>OK!</v>
      </c>
      <c r="O269" s="407" t="str">
        <f t="shared" si="1014"/>
        <v>OK!</v>
      </c>
      <c r="P269" s="407" t="str">
        <f t="shared" si="1015"/>
        <v>OK!</v>
      </c>
      <c r="Q269" s="407" t="str">
        <f t="shared" si="1016"/>
        <v>OK!</v>
      </c>
      <c r="R269" s="407" t="str">
        <f t="shared" si="101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7" t="str">
        <f>A$12</f>
        <v>Angazhimet kujtesë</v>
      </c>
      <c r="B270" s="563"/>
      <c r="C270" s="563">
        <f>'(C5) Angazhimet'!D92</f>
        <v>0</v>
      </c>
      <c r="D270" s="563">
        <f>'(C5) Angazhimet'!E92</f>
        <v>0</v>
      </c>
      <c r="E270" s="563">
        <f>'(C5) Angazhimet'!F92</f>
        <v>0</v>
      </c>
      <c r="F270" s="407" t="str">
        <f>IF(C270&gt;C269,"STOPP!","OK!")</f>
        <v>OK!</v>
      </c>
      <c r="G270" s="407" t="str">
        <f t="shared" si="1006"/>
        <v>OK!</v>
      </c>
      <c r="H270" s="407" t="str">
        <f t="shared" si="1007"/>
        <v>OK!</v>
      </c>
      <c r="I270" s="407" t="str">
        <f t="shared" si="1008"/>
        <v>OK!</v>
      </c>
      <c r="J270" s="407" t="str">
        <f t="shared" si="1009"/>
        <v>OK!</v>
      </c>
      <c r="K270" s="407" t="str">
        <f t="shared" si="1010"/>
        <v>OK!</v>
      </c>
      <c r="L270" s="407" t="str">
        <f t="shared" si="1011"/>
        <v>OK!</v>
      </c>
      <c r="M270" s="407" t="str">
        <f t="shared" si="1012"/>
        <v>OK!</v>
      </c>
      <c r="N270" s="407" t="str">
        <f t="shared" si="1013"/>
        <v>OK!</v>
      </c>
      <c r="O270" s="407" t="str">
        <f t="shared" si="1014"/>
        <v>OK!</v>
      </c>
      <c r="P270" s="407" t="str">
        <f t="shared" si="1015"/>
        <v>OK!</v>
      </c>
      <c r="Q270" s="407" t="str">
        <f t="shared" si="1016"/>
        <v>OK!</v>
      </c>
      <c r="R270" s="407" t="str">
        <f t="shared" si="101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7" t="str">
        <f>'(B3) Struktura Funksionale'!B82</f>
        <v>06260</v>
      </c>
      <c r="B271" s="891" t="str">
        <f>'(B3) Struktura Funksionale'!C82</f>
        <v>Sherbime publike vendore</v>
      </c>
      <c r="C271" s="892"/>
      <c r="D271" s="892"/>
      <c r="E271" s="893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>
        <f>45221+8059+21000+3000</f>
        <v>77280</v>
      </c>
      <c r="D272" s="287">
        <f t="shared" ref="D272" si="1020">45221+8059+21000+3000</f>
        <v>77280</v>
      </c>
      <c r="E272" s="287">
        <f>45221+8059+21000+3000+2000</f>
        <v>79280</v>
      </c>
      <c r="F272" s="407" t="str">
        <f t="shared" ref="F272:F274" si="1021">IF(C272&lt;0,"STOPP!","OK!")</f>
        <v>OK!</v>
      </c>
      <c r="G272" s="407" t="str">
        <f t="shared" ref="G272:G276" si="1022">IF(D272&lt;0,"STOPP!","OK!")</f>
        <v>OK!</v>
      </c>
      <c r="H272" s="407" t="str">
        <f t="shared" ref="H272:H276" si="1023">IF(E272&lt;0,"STOPP!","OK!")</f>
        <v>OK!</v>
      </c>
      <c r="I272" s="407" t="str">
        <f t="shared" ref="I272:I276" si="1024">IF(F272&lt;0,"STOPP!","OK!")</f>
        <v>OK!</v>
      </c>
      <c r="J272" s="407" t="str">
        <f t="shared" ref="J272:J276" si="1025">IF(G272&lt;0,"STOPP!","OK!")</f>
        <v>OK!</v>
      </c>
      <c r="K272" s="407" t="str">
        <f t="shared" ref="K272:K276" si="1026">IF(H272&lt;0,"STOPP!","OK!")</f>
        <v>OK!</v>
      </c>
      <c r="L272" s="407" t="str">
        <f t="shared" ref="L272:L276" si="1027">IF(I272&lt;0,"STOPP!","OK!")</f>
        <v>OK!</v>
      </c>
      <c r="M272" s="407" t="str">
        <f t="shared" ref="M272:M276" si="1028">IF(J272&lt;0,"STOPP!","OK!")</f>
        <v>OK!</v>
      </c>
      <c r="N272" s="407" t="str">
        <f t="shared" ref="N272:N276" si="1029">IF(K272&lt;0,"STOPP!","OK!")</f>
        <v>OK!</v>
      </c>
      <c r="O272" s="407" t="str">
        <f t="shared" ref="O272:O276" si="1030">IF(L272&lt;0,"STOPP!","OK!")</f>
        <v>OK!</v>
      </c>
      <c r="P272" s="407" t="str">
        <f t="shared" ref="P272:P276" si="1031">IF(M272&lt;0,"STOPP!","OK!")</f>
        <v>OK!</v>
      </c>
      <c r="Q272" s="407" t="str">
        <f t="shared" ref="Q272:Q276" si="1032">IF(N272&lt;0,"STOPP!","OK!")</f>
        <v>OK!</v>
      </c>
      <c r="R272" s="407" t="str">
        <f t="shared" ref="R272:R276" si="1033">IF(O272&lt;0,"STOPP!","OK!")</f>
        <v>OK!</v>
      </c>
      <c r="S272" s="407" t="str">
        <f t="shared" ref="S272:S274" si="1034">IF(D272&lt;0,"STOPP!","OK!")</f>
        <v>OK!</v>
      </c>
      <c r="T272" s="407" t="str">
        <f t="shared" ref="T272:T274" si="1035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f>35150+700+30153</f>
        <v>66003</v>
      </c>
      <c r="D273" s="288">
        <f t="shared" ref="D273:E273" si="1036">35150+700+30153</f>
        <v>66003</v>
      </c>
      <c r="E273" s="288">
        <f t="shared" si="1036"/>
        <v>66003</v>
      </c>
      <c r="F273" s="407" t="str">
        <f t="shared" si="1021"/>
        <v>OK!</v>
      </c>
      <c r="G273" s="407" t="str">
        <f t="shared" si="1022"/>
        <v>OK!</v>
      </c>
      <c r="H273" s="407" t="str">
        <f t="shared" si="1023"/>
        <v>OK!</v>
      </c>
      <c r="I273" s="407" t="str">
        <f t="shared" si="1024"/>
        <v>OK!</v>
      </c>
      <c r="J273" s="407" t="str">
        <f t="shared" si="1025"/>
        <v>OK!</v>
      </c>
      <c r="K273" s="407" t="str">
        <f t="shared" si="1026"/>
        <v>OK!</v>
      </c>
      <c r="L273" s="407" t="str">
        <f t="shared" si="1027"/>
        <v>OK!</v>
      </c>
      <c r="M273" s="407" t="str">
        <f t="shared" si="1028"/>
        <v>OK!</v>
      </c>
      <c r="N273" s="407" t="str">
        <f t="shared" si="1029"/>
        <v>OK!</v>
      </c>
      <c r="O273" s="407" t="str">
        <f t="shared" si="1030"/>
        <v>OK!</v>
      </c>
      <c r="P273" s="407" t="str">
        <f t="shared" si="1031"/>
        <v>OK!</v>
      </c>
      <c r="Q273" s="407" t="str">
        <f t="shared" si="1032"/>
        <v>OK!</v>
      </c>
      <c r="R273" s="407" t="str">
        <f t="shared" si="1033"/>
        <v>OK!</v>
      </c>
      <c r="S273" s="407" t="str">
        <f t="shared" si="1034"/>
        <v>OK!</v>
      </c>
      <c r="T273" s="407" t="str">
        <f t="shared" si="1035"/>
        <v>OK!</v>
      </c>
    </row>
    <row r="274" spans="1:20" x14ac:dyDescent="0.15">
      <c r="A274" s="565" t="str">
        <f>A$10</f>
        <v>Shpenzimet kapitale</v>
      </c>
      <c r="B274" s="566"/>
      <c r="C274" s="563">
        <f>C275-C272-C273</f>
        <v>21818</v>
      </c>
      <c r="D274" s="561">
        <f>D275-D272-D273</f>
        <v>21818</v>
      </c>
      <c r="E274" s="561">
        <f>E275-E272-E273</f>
        <v>25818</v>
      </c>
      <c r="F274" s="407" t="str">
        <f t="shared" si="1021"/>
        <v>OK!</v>
      </c>
      <c r="G274" s="407" t="str">
        <f t="shared" si="1022"/>
        <v>OK!</v>
      </c>
      <c r="H274" s="407" t="str">
        <f t="shared" si="1023"/>
        <v>OK!</v>
      </c>
      <c r="I274" s="407" t="str">
        <f t="shared" si="1024"/>
        <v>OK!</v>
      </c>
      <c r="J274" s="407" t="str">
        <f t="shared" si="1025"/>
        <v>OK!</v>
      </c>
      <c r="K274" s="407" t="str">
        <f t="shared" si="1026"/>
        <v>OK!</v>
      </c>
      <c r="L274" s="407" t="str">
        <f t="shared" si="1027"/>
        <v>OK!</v>
      </c>
      <c r="M274" s="407" t="str">
        <f t="shared" si="1028"/>
        <v>OK!</v>
      </c>
      <c r="N274" s="407" t="str">
        <f t="shared" si="1029"/>
        <v>OK!</v>
      </c>
      <c r="O274" s="407" t="str">
        <f t="shared" si="1030"/>
        <v>OK!</v>
      </c>
      <c r="P274" s="407" t="str">
        <f t="shared" si="1031"/>
        <v>OK!</v>
      </c>
      <c r="Q274" s="407" t="str">
        <f t="shared" si="1032"/>
        <v>OK!</v>
      </c>
      <c r="R274" s="407" t="str">
        <f t="shared" si="1033"/>
        <v>OK!</v>
      </c>
      <c r="S274" s="407" t="str">
        <f t="shared" si="1034"/>
        <v>OK!</v>
      </c>
      <c r="T274" s="407" t="str">
        <f t="shared" si="1035"/>
        <v>OK!</v>
      </c>
    </row>
    <row r="275" spans="1:20" x14ac:dyDescent="0.15">
      <c r="A275" s="555" t="str">
        <f>A$11</f>
        <v>Tavanet e përgjithshme</v>
      </c>
      <c r="B275" s="556"/>
      <c r="C275" s="564">
        <f>143283+4038+17780</f>
        <v>165101</v>
      </c>
      <c r="D275" s="564">
        <f t="shared" ref="D275" si="1037">143283+4038+17780</f>
        <v>165101</v>
      </c>
      <c r="E275" s="564">
        <f>143283+4038+17780+6000</f>
        <v>171101</v>
      </c>
      <c r="F275" s="407" t="str">
        <f>IF(C275&lt;0,"STOPP!","OK!")</f>
        <v>OK!</v>
      </c>
      <c r="G275" s="407" t="str">
        <f t="shared" si="1022"/>
        <v>OK!</v>
      </c>
      <c r="H275" s="407" t="str">
        <f t="shared" si="1023"/>
        <v>OK!</v>
      </c>
      <c r="I275" s="407" t="str">
        <f t="shared" si="1024"/>
        <v>OK!</v>
      </c>
      <c r="J275" s="407" t="str">
        <f t="shared" si="1025"/>
        <v>OK!</v>
      </c>
      <c r="K275" s="407" t="str">
        <f t="shared" si="1026"/>
        <v>OK!</v>
      </c>
      <c r="L275" s="407" t="str">
        <f t="shared" si="1027"/>
        <v>OK!</v>
      </c>
      <c r="M275" s="407" t="str">
        <f t="shared" si="1028"/>
        <v>OK!</v>
      </c>
      <c r="N275" s="407" t="str">
        <f t="shared" si="1029"/>
        <v>OK!</v>
      </c>
      <c r="O275" s="407" t="str">
        <f t="shared" si="1030"/>
        <v>OK!</v>
      </c>
      <c r="P275" s="407" t="str">
        <f t="shared" si="1031"/>
        <v>OK!</v>
      </c>
      <c r="Q275" s="407" t="str">
        <f t="shared" si="1032"/>
        <v>OK!</v>
      </c>
      <c r="R275" s="407" t="str">
        <f t="shared" si="1033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7" t="str">
        <f>A$12</f>
        <v>Angazhimet kujtesë</v>
      </c>
      <c r="B276" s="563"/>
      <c r="C276" s="563">
        <f>'(C5) Angazhimet'!D93</f>
        <v>0</v>
      </c>
      <c r="D276" s="563">
        <f>'(C5) Angazhimet'!E93</f>
        <v>0</v>
      </c>
      <c r="E276" s="563">
        <f>'(C5) Angazhimet'!F93</f>
        <v>0</v>
      </c>
      <c r="F276" s="407" t="str">
        <f>IF(C276&gt;C275,"STOPP!","OK!")</f>
        <v>OK!</v>
      </c>
      <c r="G276" s="407" t="str">
        <f t="shared" si="1022"/>
        <v>OK!</v>
      </c>
      <c r="H276" s="407" t="str">
        <f t="shared" si="1023"/>
        <v>OK!</v>
      </c>
      <c r="I276" s="407" t="str">
        <f t="shared" si="1024"/>
        <v>OK!</v>
      </c>
      <c r="J276" s="407" t="str">
        <f t="shared" si="1025"/>
        <v>OK!</v>
      </c>
      <c r="K276" s="407" t="str">
        <f t="shared" si="1026"/>
        <v>OK!</v>
      </c>
      <c r="L276" s="407" t="str">
        <f t="shared" si="1027"/>
        <v>OK!</v>
      </c>
      <c r="M276" s="407" t="str">
        <f t="shared" si="1028"/>
        <v>OK!</v>
      </c>
      <c r="N276" s="407" t="str">
        <f t="shared" si="1029"/>
        <v>OK!</v>
      </c>
      <c r="O276" s="407" t="str">
        <f t="shared" si="1030"/>
        <v>OK!</v>
      </c>
      <c r="P276" s="407" t="str">
        <f t="shared" si="1031"/>
        <v>OK!</v>
      </c>
      <c r="Q276" s="407" t="str">
        <f t="shared" si="1032"/>
        <v>OK!</v>
      </c>
      <c r="R276" s="407" t="str">
        <f t="shared" si="1033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6" t="str">
        <f>'(B2) Struktura Organizative'!A45</f>
        <v>Nënfunksioni 16</v>
      </c>
      <c r="B277" s="894" t="str">
        <f>'(B2) Struktura Organizative'!B45</f>
        <v>063 Furnizimi me ujë</v>
      </c>
      <c r="C277" s="895"/>
      <c r="D277" s="895"/>
      <c r="E277" s="896"/>
      <c r="G277" s="312">
        <f>C281</f>
        <v>0</v>
      </c>
      <c r="H277" s="312">
        <f t="shared" ref="H277" si="1038">D281</f>
        <v>0</v>
      </c>
      <c r="I277" s="312">
        <f t="shared" ref="I277" si="1039">E281</f>
        <v>0</v>
      </c>
      <c r="J277" s="312">
        <f>C278</f>
        <v>0</v>
      </c>
      <c r="K277" s="312">
        <f t="shared" ref="K277" si="1040">D278</f>
        <v>0</v>
      </c>
      <c r="L277" s="312">
        <f t="shared" ref="L277" si="1041">E278</f>
        <v>0</v>
      </c>
      <c r="M277" s="312">
        <f>C279</f>
        <v>0</v>
      </c>
      <c r="N277" s="312">
        <f t="shared" ref="N277" si="1042">D279</f>
        <v>0</v>
      </c>
      <c r="O277" s="312">
        <f t="shared" ref="O277" si="1043">E279</f>
        <v>0</v>
      </c>
      <c r="P277" s="312">
        <f>C280</f>
        <v>0</v>
      </c>
      <c r="Q277" s="312">
        <f t="shared" ref="Q277" si="1044">D280</f>
        <v>0</v>
      </c>
      <c r="R277" s="312">
        <f t="shared" ref="R277" si="1045">E280</f>
        <v>0</v>
      </c>
    </row>
    <row r="278" spans="1:20" x14ac:dyDescent="0.15">
      <c r="A278" s="286" t="str">
        <f>A$8</f>
        <v>Pagat dhe sigurimet shoqërore</v>
      </c>
      <c r="B278" s="286"/>
      <c r="C278" s="563">
        <f>C284</f>
        <v>0</v>
      </c>
      <c r="D278" s="563">
        <f t="shared" ref="D278:E278" si="1046">D284</f>
        <v>0</v>
      </c>
      <c r="E278" s="563">
        <f t="shared" si="1046"/>
        <v>0</v>
      </c>
      <c r="F278" s="407" t="str">
        <f t="shared" ref="F278:F280" si="1047">IF(C278&lt;0,"STOPP!","OK!")</f>
        <v>OK!</v>
      </c>
      <c r="G278" s="407" t="str">
        <f t="shared" ref="G278:G280" si="1048">IF(D278&lt;0,"STOPP!","OK!")</f>
        <v>OK!</v>
      </c>
      <c r="H278" s="407" t="str">
        <f t="shared" ref="H278:H280" si="1049">IF(E278&lt;0,"STOPP!","OK!")</f>
        <v>OK!</v>
      </c>
      <c r="I278" s="407" t="str">
        <f t="shared" ref="I278:I280" si="1050">IF(F278&lt;0,"STOPP!","OK!")</f>
        <v>OK!</v>
      </c>
      <c r="J278" s="407" t="str">
        <f t="shared" ref="J278:J280" si="1051">IF(G278&lt;0,"STOPP!","OK!")</f>
        <v>OK!</v>
      </c>
      <c r="K278" s="407" t="str">
        <f t="shared" ref="K278:K280" si="1052">IF(H278&lt;0,"STOPP!","OK!")</f>
        <v>OK!</v>
      </c>
      <c r="L278" s="407" t="str">
        <f t="shared" ref="L278:L280" si="1053">IF(I278&lt;0,"STOPP!","OK!")</f>
        <v>OK!</v>
      </c>
      <c r="M278" s="407" t="str">
        <f t="shared" ref="M278:M280" si="1054">IF(J278&lt;0,"STOPP!","OK!")</f>
        <v>OK!</v>
      </c>
      <c r="N278" s="407" t="str">
        <f t="shared" ref="N278:N280" si="1055">IF(K278&lt;0,"STOPP!","OK!")</f>
        <v>OK!</v>
      </c>
      <c r="O278" s="407" t="str">
        <f t="shared" ref="O278:O280" si="1056">IF(L278&lt;0,"STOPP!","OK!")</f>
        <v>OK!</v>
      </c>
      <c r="P278" s="407" t="str">
        <f t="shared" ref="P278:P280" si="1057">IF(M278&lt;0,"STOPP!","OK!")</f>
        <v>OK!</v>
      </c>
      <c r="Q278" s="407" t="str">
        <f t="shared" ref="Q278:Q280" si="1058">IF(N278&lt;0,"STOPP!","OK!")</f>
        <v>OK!</v>
      </c>
      <c r="R278" s="407" t="str">
        <f t="shared" ref="R278:R280" si="1059">IF(O278&lt;0,"STOPP!","OK!")</f>
        <v>OK!</v>
      </c>
      <c r="S278" s="407" t="str">
        <f t="shared" ref="S278:S280" si="1060">IF(D278&lt;0,"STOPP!","OK!")</f>
        <v>OK!</v>
      </c>
      <c r="T278" s="407" t="str">
        <f t="shared" ref="T278:T280" si="1061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3">
        <f>C285</f>
        <v>0</v>
      </c>
      <c r="D279" s="563">
        <f t="shared" ref="D279:E279" si="1062">D285</f>
        <v>0</v>
      </c>
      <c r="E279" s="563">
        <f t="shared" si="1062"/>
        <v>0</v>
      </c>
      <c r="F279" s="407" t="str">
        <f t="shared" si="1047"/>
        <v>OK!</v>
      </c>
      <c r="G279" s="407" t="str">
        <f t="shared" si="1048"/>
        <v>OK!</v>
      </c>
      <c r="H279" s="407" t="str">
        <f t="shared" si="1049"/>
        <v>OK!</v>
      </c>
      <c r="I279" s="407" t="str">
        <f t="shared" si="1050"/>
        <v>OK!</v>
      </c>
      <c r="J279" s="407" t="str">
        <f t="shared" si="1051"/>
        <v>OK!</v>
      </c>
      <c r="K279" s="407" t="str">
        <f t="shared" si="1052"/>
        <v>OK!</v>
      </c>
      <c r="L279" s="407" t="str">
        <f t="shared" si="1053"/>
        <v>OK!</v>
      </c>
      <c r="M279" s="407" t="str">
        <f t="shared" si="1054"/>
        <v>OK!</v>
      </c>
      <c r="N279" s="407" t="str">
        <f t="shared" si="1055"/>
        <v>OK!</v>
      </c>
      <c r="O279" s="407" t="str">
        <f t="shared" si="1056"/>
        <v>OK!</v>
      </c>
      <c r="P279" s="407" t="str">
        <f t="shared" si="1057"/>
        <v>OK!</v>
      </c>
      <c r="Q279" s="407" t="str">
        <f t="shared" si="1058"/>
        <v>OK!</v>
      </c>
      <c r="R279" s="407" t="str">
        <f t="shared" si="1059"/>
        <v>OK!</v>
      </c>
      <c r="S279" s="407" t="str">
        <f t="shared" si="1060"/>
        <v>OK!</v>
      </c>
      <c r="T279" s="407" t="str">
        <f t="shared" si="1061"/>
        <v>OK!</v>
      </c>
    </row>
    <row r="280" spans="1:20" x14ac:dyDescent="0.15">
      <c r="A280" s="565" t="str">
        <f>A$10</f>
        <v>Shpenzimet kapitale</v>
      </c>
      <c r="B280" s="566"/>
      <c r="C280" s="563">
        <f>C281-C278-C279</f>
        <v>0</v>
      </c>
      <c r="D280" s="561">
        <f>D281-D278-D279</f>
        <v>0</v>
      </c>
      <c r="E280" s="561">
        <f>E281-E278-E279</f>
        <v>0</v>
      </c>
      <c r="F280" s="407" t="str">
        <f t="shared" si="1047"/>
        <v>OK!</v>
      </c>
      <c r="G280" s="407" t="str">
        <f t="shared" si="1048"/>
        <v>OK!</v>
      </c>
      <c r="H280" s="407" t="str">
        <f t="shared" si="1049"/>
        <v>OK!</v>
      </c>
      <c r="I280" s="407" t="str">
        <f t="shared" si="1050"/>
        <v>OK!</v>
      </c>
      <c r="J280" s="407" t="str">
        <f t="shared" si="1051"/>
        <v>OK!</v>
      </c>
      <c r="K280" s="407" t="str">
        <f t="shared" si="1052"/>
        <v>OK!</v>
      </c>
      <c r="L280" s="407" t="str">
        <f t="shared" si="1053"/>
        <v>OK!</v>
      </c>
      <c r="M280" s="407" t="str">
        <f t="shared" si="1054"/>
        <v>OK!</v>
      </c>
      <c r="N280" s="407" t="str">
        <f t="shared" si="1055"/>
        <v>OK!</v>
      </c>
      <c r="O280" s="407" t="str">
        <f t="shared" si="1056"/>
        <v>OK!</v>
      </c>
      <c r="P280" s="407" t="str">
        <f t="shared" si="1057"/>
        <v>OK!</v>
      </c>
      <c r="Q280" s="407" t="str">
        <f t="shared" si="1058"/>
        <v>OK!</v>
      </c>
      <c r="R280" s="407" t="str">
        <f t="shared" si="1059"/>
        <v>OK!</v>
      </c>
      <c r="S280" s="407" t="str">
        <f t="shared" si="1060"/>
        <v>OK!</v>
      </c>
      <c r="T280" s="407" t="str">
        <f t="shared" si="1061"/>
        <v>OK!</v>
      </c>
    </row>
    <row r="281" spans="1:20" x14ac:dyDescent="0.15">
      <c r="A281" s="555" t="str">
        <f>A$11</f>
        <v>Tavanet e përgjithshme</v>
      </c>
      <c r="B281" s="556"/>
      <c r="C281" s="563">
        <f>C287</f>
        <v>0</v>
      </c>
      <c r="D281" s="563">
        <f t="shared" ref="D281:E281" si="1063">D287</f>
        <v>0</v>
      </c>
      <c r="E281" s="563">
        <f t="shared" si="1063"/>
        <v>0</v>
      </c>
      <c r="F281" s="407" t="str">
        <f>IF(C281&lt;0,"STOPP!","OK!")</f>
        <v>OK!</v>
      </c>
      <c r="G281" s="407" t="str">
        <f t="shared" ref="G281:G282" si="1064">IF(D281&lt;0,"STOPP!","OK!")</f>
        <v>OK!</v>
      </c>
      <c r="H281" s="407" t="str">
        <f t="shared" ref="H281:H282" si="1065">IF(E281&lt;0,"STOPP!","OK!")</f>
        <v>OK!</v>
      </c>
      <c r="I281" s="407" t="str">
        <f t="shared" ref="I281:I282" si="1066">IF(F281&lt;0,"STOPP!","OK!")</f>
        <v>OK!</v>
      </c>
      <c r="J281" s="407" t="str">
        <f t="shared" ref="J281:J282" si="1067">IF(G281&lt;0,"STOPP!","OK!")</f>
        <v>OK!</v>
      </c>
      <c r="K281" s="407" t="str">
        <f t="shared" ref="K281:K282" si="1068">IF(H281&lt;0,"STOPP!","OK!")</f>
        <v>OK!</v>
      </c>
      <c r="L281" s="407" t="str">
        <f t="shared" ref="L281:L282" si="1069">IF(I281&lt;0,"STOPP!","OK!")</f>
        <v>OK!</v>
      </c>
      <c r="M281" s="407" t="str">
        <f t="shared" ref="M281:M282" si="1070">IF(J281&lt;0,"STOPP!","OK!")</f>
        <v>OK!</v>
      </c>
      <c r="N281" s="407" t="str">
        <f t="shared" ref="N281:N282" si="1071">IF(K281&lt;0,"STOPP!","OK!")</f>
        <v>OK!</v>
      </c>
      <c r="O281" s="407" t="str">
        <f t="shared" ref="O281:O282" si="1072">IF(L281&lt;0,"STOPP!","OK!")</f>
        <v>OK!</v>
      </c>
      <c r="P281" s="407" t="str">
        <f t="shared" ref="P281:P282" si="1073">IF(M281&lt;0,"STOPP!","OK!")</f>
        <v>OK!</v>
      </c>
      <c r="Q281" s="407" t="str">
        <f t="shared" ref="Q281:Q282" si="1074">IF(N281&lt;0,"STOPP!","OK!")</f>
        <v>OK!</v>
      </c>
      <c r="R281" s="407" t="str">
        <f t="shared" ref="R281:R282" si="1075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7" t="str">
        <f>A$12</f>
        <v>Angazhimet kujtesë</v>
      </c>
      <c r="B282" s="563"/>
      <c r="C282" s="563">
        <f>'(C5) Angazhimet'!D100</f>
        <v>0</v>
      </c>
      <c r="D282" s="561">
        <f>'(C5) Angazhimet'!E100</f>
        <v>0</v>
      </c>
      <c r="E282" s="561">
        <f>'(C5) Angazhimet'!F100</f>
        <v>0</v>
      </c>
      <c r="F282" s="407" t="str">
        <f>IF(C282&gt;C281,"STOPP!","OK!")</f>
        <v>OK!</v>
      </c>
      <c r="G282" s="407" t="str">
        <f t="shared" si="1064"/>
        <v>OK!</v>
      </c>
      <c r="H282" s="407" t="str">
        <f t="shared" si="1065"/>
        <v>OK!</v>
      </c>
      <c r="I282" s="407" t="str">
        <f t="shared" si="1066"/>
        <v>OK!</v>
      </c>
      <c r="J282" s="407" t="str">
        <f t="shared" si="1067"/>
        <v>OK!</v>
      </c>
      <c r="K282" s="407" t="str">
        <f t="shared" si="1068"/>
        <v>OK!</v>
      </c>
      <c r="L282" s="407" t="str">
        <f t="shared" si="1069"/>
        <v>OK!</v>
      </c>
      <c r="M282" s="407" t="str">
        <f t="shared" si="1070"/>
        <v>OK!</v>
      </c>
      <c r="N282" s="407" t="str">
        <f t="shared" si="1071"/>
        <v>OK!</v>
      </c>
      <c r="O282" s="407" t="str">
        <f t="shared" si="1072"/>
        <v>OK!</v>
      </c>
      <c r="P282" s="407" t="str">
        <f t="shared" si="1073"/>
        <v>OK!</v>
      </c>
      <c r="Q282" s="407" t="str">
        <f t="shared" si="1074"/>
        <v>OK!</v>
      </c>
      <c r="R282" s="407" t="str">
        <f t="shared" si="1075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6" t="str">
        <f>'(B3) Struktura Funksionale'!B85</f>
        <v>06330</v>
      </c>
      <c r="B283" s="894" t="str">
        <f>'(B3) Struktura Funksionale'!C85</f>
        <v xml:space="preserve">Furnizimi me ujë </v>
      </c>
      <c r="C283" s="895"/>
      <c r="D283" s="895"/>
      <c r="E283" s="896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76">IF(C284&lt;0,"STOPP!","OK!")</f>
        <v>OK!</v>
      </c>
      <c r="G284" s="407" t="str">
        <f t="shared" ref="G284:G288" si="1077">IF(D284&lt;0,"STOPP!","OK!")</f>
        <v>OK!</v>
      </c>
      <c r="H284" s="407" t="str">
        <f t="shared" ref="H284:H288" si="1078">IF(E284&lt;0,"STOPP!","OK!")</f>
        <v>OK!</v>
      </c>
      <c r="I284" s="407" t="str">
        <f t="shared" ref="I284:I288" si="1079">IF(F284&lt;0,"STOPP!","OK!")</f>
        <v>OK!</v>
      </c>
      <c r="J284" s="407" t="str">
        <f t="shared" ref="J284:J288" si="1080">IF(G284&lt;0,"STOPP!","OK!")</f>
        <v>OK!</v>
      </c>
      <c r="K284" s="407" t="str">
        <f t="shared" ref="K284:K288" si="1081">IF(H284&lt;0,"STOPP!","OK!")</f>
        <v>OK!</v>
      </c>
      <c r="L284" s="407" t="str">
        <f t="shared" ref="L284:L288" si="1082">IF(I284&lt;0,"STOPP!","OK!")</f>
        <v>OK!</v>
      </c>
      <c r="M284" s="407" t="str">
        <f t="shared" ref="M284:M288" si="1083">IF(J284&lt;0,"STOPP!","OK!")</f>
        <v>OK!</v>
      </c>
      <c r="N284" s="407" t="str">
        <f t="shared" ref="N284:N288" si="1084">IF(K284&lt;0,"STOPP!","OK!")</f>
        <v>OK!</v>
      </c>
      <c r="O284" s="407" t="str">
        <f t="shared" ref="O284:O288" si="1085">IF(L284&lt;0,"STOPP!","OK!")</f>
        <v>OK!</v>
      </c>
      <c r="P284" s="407" t="str">
        <f t="shared" ref="P284:P288" si="1086">IF(M284&lt;0,"STOPP!","OK!")</f>
        <v>OK!</v>
      </c>
      <c r="Q284" s="407" t="str">
        <f t="shared" ref="Q284:Q288" si="1087">IF(N284&lt;0,"STOPP!","OK!")</f>
        <v>OK!</v>
      </c>
      <c r="R284" s="407" t="str">
        <f t="shared" ref="R284:R288" si="1088">IF(O284&lt;0,"STOPP!","OK!")</f>
        <v>OK!</v>
      </c>
      <c r="S284" s="407" t="str">
        <f t="shared" ref="S284:S286" si="1089">IF(D284&lt;0,"STOPP!","OK!")</f>
        <v>OK!</v>
      </c>
      <c r="T284" s="407" t="str">
        <f t="shared" ref="T284:T286" si="1090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76"/>
        <v>OK!</v>
      </c>
      <c r="G285" s="407" t="str">
        <f t="shared" si="1077"/>
        <v>OK!</v>
      </c>
      <c r="H285" s="407" t="str">
        <f t="shared" si="1078"/>
        <v>OK!</v>
      </c>
      <c r="I285" s="407" t="str">
        <f t="shared" si="1079"/>
        <v>OK!</v>
      </c>
      <c r="J285" s="407" t="str">
        <f t="shared" si="1080"/>
        <v>OK!</v>
      </c>
      <c r="K285" s="407" t="str">
        <f t="shared" si="1081"/>
        <v>OK!</v>
      </c>
      <c r="L285" s="407" t="str">
        <f t="shared" si="1082"/>
        <v>OK!</v>
      </c>
      <c r="M285" s="407" t="str">
        <f t="shared" si="1083"/>
        <v>OK!</v>
      </c>
      <c r="N285" s="407" t="str">
        <f t="shared" si="1084"/>
        <v>OK!</v>
      </c>
      <c r="O285" s="407" t="str">
        <f t="shared" si="1085"/>
        <v>OK!</v>
      </c>
      <c r="P285" s="407" t="str">
        <f t="shared" si="1086"/>
        <v>OK!</v>
      </c>
      <c r="Q285" s="407" t="str">
        <f t="shared" si="1087"/>
        <v>OK!</v>
      </c>
      <c r="R285" s="407" t="str">
        <f t="shared" si="1088"/>
        <v>OK!</v>
      </c>
      <c r="S285" s="407" t="str">
        <f t="shared" si="1089"/>
        <v>OK!</v>
      </c>
      <c r="T285" s="407" t="str">
        <f t="shared" si="1090"/>
        <v>OK!</v>
      </c>
    </row>
    <row r="286" spans="1:20" x14ac:dyDescent="0.15">
      <c r="A286" s="565" t="str">
        <f>A$10</f>
        <v>Shpenzimet kapitale</v>
      </c>
      <c r="B286" s="566"/>
      <c r="C286" s="563">
        <f>C287-C284-C285</f>
        <v>0</v>
      </c>
      <c r="D286" s="561">
        <f>D287-D284-D285</f>
        <v>0</v>
      </c>
      <c r="E286" s="561">
        <f>E287-E284-E285</f>
        <v>0</v>
      </c>
      <c r="F286" s="407" t="str">
        <f t="shared" si="1076"/>
        <v>OK!</v>
      </c>
      <c r="G286" s="407" t="str">
        <f t="shared" si="1077"/>
        <v>OK!</v>
      </c>
      <c r="H286" s="407" t="str">
        <f t="shared" si="1078"/>
        <v>OK!</v>
      </c>
      <c r="I286" s="407" t="str">
        <f t="shared" si="1079"/>
        <v>OK!</v>
      </c>
      <c r="J286" s="407" t="str">
        <f t="shared" si="1080"/>
        <v>OK!</v>
      </c>
      <c r="K286" s="407" t="str">
        <f t="shared" si="1081"/>
        <v>OK!</v>
      </c>
      <c r="L286" s="407" t="str">
        <f t="shared" si="1082"/>
        <v>OK!</v>
      </c>
      <c r="M286" s="407" t="str">
        <f t="shared" si="1083"/>
        <v>OK!</v>
      </c>
      <c r="N286" s="407" t="str">
        <f t="shared" si="1084"/>
        <v>OK!</v>
      </c>
      <c r="O286" s="407" t="str">
        <f t="shared" si="1085"/>
        <v>OK!</v>
      </c>
      <c r="P286" s="407" t="str">
        <f t="shared" si="1086"/>
        <v>OK!</v>
      </c>
      <c r="Q286" s="407" t="str">
        <f t="shared" si="1087"/>
        <v>OK!</v>
      </c>
      <c r="R286" s="407" t="str">
        <f t="shared" si="1088"/>
        <v>OK!</v>
      </c>
      <c r="S286" s="407" t="str">
        <f t="shared" si="1089"/>
        <v>OK!</v>
      </c>
      <c r="T286" s="407" t="str">
        <f t="shared" si="1090"/>
        <v>OK!</v>
      </c>
    </row>
    <row r="287" spans="1:20" x14ac:dyDescent="0.15">
      <c r="A287" s="555" t="str">
        <f>A$11</f>
        <v>Tavanet e përgjithshme</v>
      </c>
      <c r="B287" s="556"/>
      <c r="C287" s="564"/>
      <c r="D287" s="562"/>
      <c r="E287" s="562"/>
      <c r="F287" s="407" t="str">
        <f>IF(C287&lt;0,"STOPP!","OK!")</f>
        <v>OK!</v>
      </c>
      <c r="G287" s="407" t="str">
        <f t="shared" si="1077"/>
        <v>OK!</v>
      </c>
      <c r="H287" s="407" t="str">
        <f t="shared" si="1078"/>
        <v>OK!</v>
      </c>
      <c r="I287" s="407" t="str">
        <f t="shared" si="1079"/>
        <v>OK!</v>
      </c>
      <c r="J287" s="407" t="str">
        <f t="shared" si="1080"/>
        <v>OK!</v>
      </c>
      <c r="K287" s="407" t="str">
        <f t="shared" si="1081"/>
        <v>OK!</v>
      </c>
      <c r="L287" s="407" t="str">
        <f t="shared" si="1082"/>
        <v>OK!</v>
      </c>
      <c r="M287" s="407" t="str">
        <f t="shared" si="1083"/>
        <v>OK!</v>
      </c>
      <c r="N287" s="407" t="str">
        <f t="shared" si="1084"/>
        <v>OK!</v>
      </c>
      <c r="O287" s="407" t="str">
        <f t="shared" si="1085"/>
        <v>OK!</v>
      </c>
      <c r="P287" s="407" t="str">
        <f t="shared" si="1086"/>
        <v>OK!</v>
      </c>
      <c r="Q287" s="407" t="str">
        <f t="shared" si="1087"/>
        <v>OK!</v>
      </c>
      <c r="R287" s="407" t="str">
        <f t="shared" si="1088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7" t="str">
        <f>A$12</f>
        <v>Angazhimet kujtesë</v>
      </c>
      <c r="B288" s="563"/>
      <c r="C288" s="563">
        <f>'(C5) Angazhimet'!D97</f>
        <v>0</v>
      </c>
      <c r="D288" s="563">
        <f>'(C5) Angazhimet'!E97</f>
        <v>0</v>
      </c>
      <c r="E288" s="563">
        <f>'(C5) Angazhimet'!F97</f>
        <v>0</v>
      </c>
      <c r="F288" s="407" t="str">
        <f>IF(C288&gt;C287,"STOPP!","OK!")</f>
        <v>OK!</v>
      </c>
      <c r="G288" s="407" t="str">
        <f t="shared" si="1077"/>
        <v>OK!</v>
      </c>
      <c r="H288" s="407" t="str">
        <f t="shared" si="1078"/>
        <v>OK!</v>
      </c>
      <c r="I288" s="407" t="str">
        <f t="shared" si="1079"/>
        <v>OK!</v>
      </c>
      <c r="J288" s="407" t="str">
        <f t="shared" si="1080"/>
        <v>OK!</v>
      </c>
      <c r="K288" s="407" t="str">
        <f t="shared" si="1081"/>
        <v>OK!</v>
      </c>
      <c r="L288" s="407" t="str">
        <f t="shared" si="1082"/>
        <v>OK!</v>
      </c>
      <c r="M288" s="407" t="str">
        <f t="shared" si="1083"/>
        <v>OK!</v>
      </c>
      <c r="N288" s="407" t="str">
        <f t="shared" si="1084"/>
        <v>OK!</v>
      </c>
      <c r="O288" s="407" t="str">
        <f t="shared" si="1085"/>
        <v>OK!</v>
      </c>
      <c r="P288" s="407" t="str">
        <f t="shared" si="1086"/>
        <v>OK!</v>
      </c>
      <c r="Q288" s="407" t="str">
        <f t="shared" si="1087"/>
        <v>OK!</v>
      </c>
      <c r="R288" s="407" t="str">
        <f t="shared" si="1088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6" t="str">
        <f>'(B2) Struktura Organizative'!A47</f>
        <v>Nënfunksioni 17</v>
      </c>
      <c r="B289" s="894" t="str">
        <f>'(B2) Struktura Organizative'!B47</f>
        <v xml:space="preserve">                               </v>
      </c>
      <c r="C289" s="895"/>
      <c r="D289" s="895"/>
      <c r="E289" s="896"/>
      <c r="G289" s="312">
        <f>C293</f>
        <v>11970</v>
      </c>
      <c r="H289" s="312">
        <f t="shared" ref="H289" si="1091">D293</f>
        <v>13970</v>
      </c>
      <c r="I289" s="312">
        <f t="shared" ref="I289" si="1092">E293</f>
        <v>13170</v>
      </c>
      <c r="J289" s="312">
        <f>C290</f>
        <v>4820</v>
      </c>
      <c r="K289" s="312">
        <f t="shared" ref="K289" si="1093">D290</f>
        <v>4820</v>
      </c>
      <c r="L289" s="312">
        <f t="shared" ref="L289" si="1094">E290</f>
        <v>4820</v>
      </c>
      <c r="M289" s="312">
        <f>C291</f>
        <v>7150</v>
      </c>
      <c r="N289" s="312">
        <f t="shared" ref="N289" si="1095">D291</f>
        <v>9150</v>
      </c>
      <c r="O289" s="312">
        <f t="shared" ref="O289" si="1096">E291</f>
        <v>7150</v>
      </c>
      <c r="P289" s="312">
        <f>C292</f>
        <v>0</v>
      </c>
      <c r="Q289" s="312">
        <f t="shared" ref="Q289" si="1097">D292</f>
        <v>0</v>
      </c>
      <c r="R289" s="312">
        <f t="shared" ref="R289" si="1098">E292</f>
        <v>1200</v>
      </c>
    </row>
    <row r="290" spans="1:20" x14ac:dyDescent="0.15">
      <c r="A290" s="286" t="str">
        <f>A$8</f>
        <v>Pagat dhe sigurimet shoqërore</v>
      </c>
      <c r="B290" s="286"/>
      <c r="C290" s="563">
        <f>C296</f>
        <v>4820</v>
      </c>
      <c r="D290" s="563">
        <f t="shared" ref="D290:E290" si="1099">D296</f>
        <v>4820</v>
      </c>
      <c r="E290" s="563">
        <f t="shared" si="1099"/>
        <v>4820</v>
      </c>
      <c r="F290" s="407" t="str">
        <f t="shared" ref="F290:F292" si="1100">IF(C290&lt;0,"STOPP!","OK!")</f>
        <v>OK!</v>
      </c>
      <c r="G290" s="407" t="str">
        <f t="shared" ref="G290:G292" si="1101">IF(D290&lt;0,"STOPP!","OK!")</f>
        <v>OK!</v>
      </c>
      <c r="H290" s="407" t="str">
        <f t="shared" ref="H290:H292" si="1102">IF(E290&lt;0,"STOPP!","OK!")</f>
        <v>OK!</v>
      </c>
      <c r="I290" s="407" t="str">
        <f t="shared" ref="I290:I292" si="1103">IF(F290&lt;0,"STOPP!","OK!")</f>
        <v>OK!</v>
      </c>
      <c r="J290" s="407" t="str">
        <f t="shared" ref="J290:J292" si="1104">IF(G290&lt;0,"STOPP!","OK!")</f>
        <v>OK!</v>
      </c>
      <c r="K290" s="407" t="str">
        <f t="shared" ref="K290:K292" si="1105">IF(H290&lt;0,"STOPP!","OK!")</f>
        <v>OK!</v>
      </c>
      <c r="L290" s="407" t="str">
        <f t="shared" ref="L290:L292" si="1106">IF(I290&lt;0,"STOPP!","OK!")</f>
        <v>OK!</v>
      </c>
      <c r="M290" s="407" t="str">
        <f t="shared" ref="M290:M292" si="1107">IF(J290&lt;0,"STOPP!","OK!")</f>
        <v>OK!</v>
      </c>
      <c r="N290" s="407" t="str">
        <f t="shared" ref="N290:N292" si="1108">IF(K290&lt;0,"STOPP!","OK!")</f>
        <v>OK!</v>
      </c>
      <c r="O290" s="407" t="str">
        <f t="shared" ref="O290:O292" si="1109">IF(L290&lt;0,"STOPP!","OK!")</f>
        <v>OK!</v>
      </c>
      <c r="P290" s="407" t="str">
        <f t="shared" ref="P290:P292" si="1110">IF(M290&lt;0,"STOPP!","OK!")</f>
        <v>OK!</v>
      </c>
      <c r="Q290" s="407" t="str">
        <f t="shared" ref="Q290:Q292" si="1111">IF(N290&lt;0,"STOPP!","OK!")</f>
        <v>OK!</v>
      </c>
      <c r="R290" s="407" t="str">
        <f t="shared" ref="R290:R292" si="1112">IF(O290&lt;0,"STOPP!","OK!")</f>
        <v>OK!</v>
      </c>
      <c r="S290" s="407" t="str">
        <f t="shared" ref="S290:S292" si="1113">IF(D290&lt;0,"STOPP!","OK!")</f>
        <v>OK!</v>
      </c>
      <c r="T290" s="407" t="str">
        <f t="shared" ref="T290:T292" si="1114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3">
        <f>C297</f>
        <v>7150</v>
      </c>
      <c r="D291" s="563">
        <f t="shared" ref="D291:E291" si="1115">D297</f>
        <v>9150</v>
      </c>
      <c r="E291" s="563">
        <f t="shared" si="1115"/>
        <v>7150</v>
      </c>
      <c r="F291" s="407" t="str">
        <f t="shared" si="1100"/>
        <v>OK!</v>
      </c>
      <c r="G291" s="407" t="str">
        <f t="shared" si="1101"/>
        <v>OK!</v>
      </c>
      <c r="H291" s="407" t="str">
        <f t="shared" si="1102"/>
        <v>OK!</v>
      </c>
      <c r="I291" s="407" t="str">
        <f t="shared" si="1103"/>
        <v>OK!</v>
      </c>
      <c r="J291" s="407" t="str">
        <f t="shared" si="1104"/>
        <v>OK!</v>
      </c>
      <c r="K291" s="407" t="str">
        <f t="shared" si="1105"/>
        <v>OK!</v>
      </c>
      <c r="L291" s="407" t="str">
        <f t="shared" si="1106"/>
        <v>OK!</v>
      </c>
      <c r="M291" s="407" t="str">
        <f t="shared" si="1107"/>
        <v>OK!</v>
      </c>
      <c r="N291" s="407" t="str">
        <f t="shared" si="1108"/>
        <v>OK!</v>
      </c>
      <c r="O291" s="407" t="str">
        <f t="shared" si="1109"/>
        <v>OK!</v>
      </c>
      <c r="P291" s="407" t="str">
        <f t="shared" si="1110"/>
        <v>OK!</v>
      </c>
      <c r="Q291" s="407" t="str">
        <f t="shared" si="1111"/>
        <v>OK!</v>
      </c>
      <c r="R291" s="407" t="str">
        <f t="shared" si="1112"/>
        <v>OK!</v>
      </c>
      <c r="S291" s="407" t="str">
        <f t="shared" si="1113"/>
        <v>OK!</v>
      </c>
      <c r="T291" s="407" t="str">
        <f t="shared" si="1114"/>
        <v>OK!</v>
      </c>
    </row>
    <row r="292" spans="1:20" x14ac:dyDescent="0.15">
      <c r="A292" s="565" t="str">
        <f>A$10</f>
        <v>Shpenzimet kapitale</v>
      </c>
      <c r="B292" s="566"/>
      <c r="C292" s="563">
        <f>C293-C290-C291</f>
        <v>0</v>
      </c>
      <c r="D292" s="561">
        <f>D293-D290-D291</f>
        <v>0</v>
      </c>
      <c r="E292" s="561">
        <f>E293-E290-E291</f>
        <v>1200</v>
      </c>
      <c r="F292" s="407" t="str">
        <f t="shared" si="1100"/>
        <v>OK!</v>
      </c>
      <c r="G292" s="407" t="str">
        <f t="shared" si="1101"/>
        <v>OK!</v>
      </c>
      <c r="H292" s="407" t="str">
        <f t="shared" si="1102"/>
        <v>OK!</v>
      </c>
      <c r="I292" s="407" t="str">
        <f t="shared" si="1103"/>
        <v>OK!</v>
      </c>
      <c r="J292" s="407" t="str">
        <f t="shared" si="1104"/>
        <v>OK!</v>
      </c>
      <c r="K292" s="407" t="str">
        <f t="shared" si="1105"/>
        <v>OK!</v>
      </c>
      <c r="L292" s="407" t="str">
        <f t="shared" si="1106"/>
        <v>OK!</v>
      </c>
      <c r="M292" s="407" t="str">
        <f t="shared" si="1107"/>
        <v>OK!</v>
      </c>
      <c r="N292" s="407" t="str">
        <f t="shared" si="1108"/>
        <v>OK!</v>
      </c>
      <c r="O292" s="407" t="str">
        <f t="shared" si="1109"/>
        <v>OK!</v>
      </c>
      <c r="P292" s="407" t="str">
        <f t="shared" si="1110"/>
        <v>OK!</v>
      </c>
      <c r="Q292" s="407" t="str">
        <f t="shared" si="1111"/>
        <v>OK!</v>
      </c>
      <c r="R292" s="407" t="str">
        <f t="shared" si="1112"/>
        <v>OK!</v>
      </c>
      <c r="S292" s="407" t="str">
        <f t="shared" si="1113"/>
        <v>OK!</v>
      </c>
      <c r="T292" s="407" t="str">
        <f t="shared" si="1114"/>
        <v>OK!</v>
      </c>
    </row>
    <row r="293" spans="1:20" x14ac:dyDescent="0.15">
      <c r="A293" s="555" t="str">
        <f>A$11</f>
        <v>Tavanet e përgjithshme</v>
      </c>
      <c r="B293" s="556"/>
      <c r="C293" s="563">
        <f>C299</f>
        <v>11970</v>
      </c>
      <c r="D293" s="563">
        <f t="shared" ref="D293:E293" si="1116">D299</f>
        <v>13970</v>
      </c>
      <c r="E293" s="563">
        <f t="shared" si="1116"/>
        <v>13170</v>
      </c>
      <c r="F293" s="407" t="str">
        <f>IF(C293&lt;0,"STOPP!","OK!")</f>
        <v>OK!</v>
      </c>
      <c r="G293" s="407" t="str">
        <f t="shared" ref="G293:G294" si="1117">IF(D293&lt;0,"STOPP!","OK!")</f>
        <v>OK!</v>
      </c>
      <c r="H293" s="407" t="str">
        <f t="shared" ref="H293:H294" si="1118">IF(E293&lt;0,"STOPP!","OK!")</f>
        <v>OK!</v>
      </c>
      <c r="I293" s="407" t="str">
        <f t="shared" ref="I293:I294" si="1119">IF(F293&lt;0,"STOPP!","OK!")</f>
        <v>OK!</v>
      </c>
      <c r="J293" s="407" t="str">
        <f t="shared" ref="J293:J294" si="1120">IF(G293&lt;0,"STOPP!","OK!")</f>
        <v>OK!</v>
      </c>
      <c r="K293" s="407" t="str">
        <f t="shared" ref="K293:K294" si="1121">IF(H293&lt;0,"STOPP!","OK!")</f>
        <v>OK!</v>
      </c>
      <c r="L293" s="407" t="str">
        <f t="shared" ref="L293:L294" si="1122">IF(I293&lt;0,"STOPP!","OK!")</f>
        <v>OK!</v>
      </c>
      <c r="M293" s="407" t="str">
        <f t="shared" ref="M293:M294" si="1123">IF(J293&lt;0,"STOPP!","OK!")</f>
        <v>OK!</v>
      </c>
      <c r="N293" s="407" t="str">
        <f t="shared" ref="N293:N294" si="1124">IF(K293&lt;0,"STOPP!","OK!")</f>
        <v>OK!</v>
      </c>
      <c r="O293" s="407" t="str">
        <f t="shared" ref="O293:O294" si="1125">IF(L293&lt;0,"STOPP!","OK!")</f>
        <v>OK!</v>
      </c>
      <c r="P293" s="407" t="str">
        <f t="shared" ref="P293:P294" si="1126">IF(M293&lt;0,"STOPP!","OK!")</f>
        <v>OK!</v>
      </c>
      <c r="Q293" s="407" t="str">
        <f t="shared" ref="Q293:Q294" si="1127">IF(N293&lt;0,"STOPP!","OK!")</f>
        <v>OK!</v>
      </c>
      <c r="R293" s="407" t="str">
        <f t="shared" ref="R293:R294" si="1128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7" t="str">
        <f>A$12</f>
        <v>Angazhimet kujtesë</v>
      </c>
      <c r="B294" s="563"/>
      <c r="C294" s="563">
        <f>'(C5) Angazhimet'!D105</f>
        <v>0</v>
      </c>
      <c r="D294" s="561">
        <f>'(C5) Angazhimet'!E105</f>
        <v>0</v>
      </c>
      <c r="E294" s="561">
        <f>'(C5) Angazhimet'!F105</f>
        <v>0</v>
      </c>
      <c r="F294" s="407" t="str">
        <f>IF(C294&gt;C293,"STOPP!","OK!")</f>
        <v>OK!</v>
      </c>
      <c r="G294" s="407" t="str">
        <f t="shared" si="1117"/>
        <v>OK!</v>
      </c>
      <c r="H294" s="407" t="str">
        <f t="shared" si="1118"/>
        <v>OK!</v>
      </c>
      <c r="I294" s="407" t="str">
        <f t="shared" si="1119"/>
        <v>OK!</v>
      </c>
      <c r="J294" s="407" t="str">
        <f t="shared" si="1120"/>
        <v>OK!</v>
      </c>
      <c r="K294" s="407" t="str">
        <f t="shared" si="1121"/>
        <v>OK!</v>
      </c>
      <c r="L294" s="407" t="str">
        <f t="shared" si="1122"/>
        <v>OK!</v>
      </c>
      <c r="M294" s="407" t="str">
        <f t="shared" si="1123"/>
        <v>OK!</v>
      </c>
      <c r="N294" s="407" t="str">
        <f t="shared" si="1124"/>
        <v>OK!</v>
      </c>
      <c r="O294" s="407" t="str">
        <f t="shared" si="1125"/>
        <v>OK!</v>
      </c>
      <c r="P294" s="407" t="str">
        <f t="shared" si="1126"/>
        <v>OK!</v>
      </c>
      <c r="Q294" s="407" t="str">
        <f t="shared" si="1127"/>
        <v>OK!</v>
      </c>
      <c r="R294" s="407" t="str">
        <f t="shared" si="1128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7" t="str">
        <f>'(B3) Struktura Funksionale'!B89</f>
        <v>06440</v>
      </c>
      <c r="B295" s="891" t="str">
        <f>'(B3) Struktura Funksionale'!C89</f>
        <v>Ndriçim rrugësh</v>
      </c>
      <c r="C295" s="892"/>
      <c r="D295" s="892"/>
      <c r="E295" s="893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>
        <f>4073+747</f>
        <v>4820</v>
      </c>
      <c r="D296" s="287">
        <f t="shared" ref="D296:E296" si="1129">4073+747</f>
        <v>4820</v>
      </c>
      <c r="E296" s="287">
        <f t="shared" si="1129"/>
        <v>4820</v>
      </c>
      <c r="F296" s="407" t="str">
        <f t="shared" ref="F296:F298" si="1130">IF(C296&lt;0,"STOPP!","OK!")</f>
        <v>OK!</v>
      </c>
      <c r="G296" s="407" t="str">
        <f t="shared" ref="G296:G300" si="1131">IF(D296&lt;0,"STOPP!","OK!")</f>
        <v>OK!</v>
      </c>
      <c r="H296" s="407" t="str">
        <f t="shared" ref="H296:H300" si="1132">IF(E296&lt;0,"STOPP!","OK!")</f>
        <v>OK!</v>
      </c>
      <c r="I296" s="407" t="str">
        <f t="shared" ref="I296:I300" si="1133">IF(F296&lt;0,"STOPP!","OK!")</f>
        <v>OK!</v>
      </c>
      <c r="J296" s="407" t="str">
        <f t="shared" ref="J296:J300" si="1134">IF(G296&lt;0,"STOPP!","OK!")</f>
        <v>OK!</v>
      </c>
      <c r="K296" s="407" t="str">
        <f t="shared" ref="K296:K300" si="1135">IF(H296&lt;0,"STOPP!","OK!")</f>
        <v>OK!</v>
      </c>
      <c r="L296" s="407" t="str">
        <f t="shared" ref="L296:L300" si="1136">IF(I296&lt;0,"STOPP!","OK!")</f>
        <v>OK!</v>
      </c>
      <c r="M296" s="407" t="str">
        <f t="shared" ref="M296:M300" si="1137">IF(J296&lt;0,"STOPP!","OK!")</f>
        <v>OK!</v>
      </c>
      <c r="N296" s="407" t="str">
        <f t="shared" ref="N296:N300" si="1138">IF(K296&lt;0,"STOPP!","OK!")</f>
        <v>OK!</v>
      </c>
      <c r="O296" s="407" t="str">
        <f t="shared" ref="O296:O300" si="1139">IF(L296&lt;0,"STOPP!","OK!")</f>
        <v>OK!</v>
      </c>
      <c r="P296" s="407" t="str">
        <f t="shared" ref="P296:P300" si="1140">IF(M296&lt;0,"STOPP!","OK!")</f>
        <v>OK!</v>
      </c>
      <c r="Q296" s="407" t="str">
        <f t="shared" ref="Q296:Q300" si="1141">IF(N296&lt;0,"STOPP!","OK!")</f>
        <v>OK!</v>
      </c>
      <c r="R296" s="407" t="str">
        <f t="shared" ref="R296:R300" si="1142">IF(O296&lt;0,"STOPP!","OK!")</f>
        <v>OK!</v>
      </c>
      <c r="S296" s="407" t="str">
        <f t="shared" ref="S296:S298" si="1143">IF(D296&lt;0,"STOPP!","OK!")</f>
        <v>OK!</v>
      </c>
      <c r="T296" s="407" t="str">
        <f t="shared" ref="T296:T298" si="1144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>
        <f>7150</f>
        <v>7150</v>
      </c>
      <c r="D297" s="288">
        <f>7150+2000</f>
        <v>9150</v>
      </c>
      <c r="E297" s="288">
        <f>7150</f>
        <v>7150</v>
      </c>
      <c r="F297" s="407" t="str">
        <f t="shared" si="1130"/>
        <v>OK!</v>
      </c>
      <c r="G297" s="407" t="str">
        <f t="shared" si="1131"/>
        <v>OK!</v>
      </c>
      <c r="H297" s="407" t="str">
        <f t="shared" si="1132"/>
        <v>OK!</v>
      </c>
      <c r="I297" s="407" t="str">
        <f t="shared" si="1133"/>
        <v>OK!</v>
      </c>
      <c r="J297" s="407" t="str">
        <f t="shared" si="1134"/>
        <v>OK!</v>
      </c>
      <c r="K297" s="407" t="str">
        <f t="shared" si="1135"/>
        <v>OK!</v>
      </c>
      <c r="L297" s="407" t="str">
        <f t="shared" si="1136"/>
        <v>OK!</v>
      </c>
      <c r="M297" s="407" t="str">
        <f t="shared" si="1137"/>
        <v>OK!</v>
      </c>
      <c r="N297" s="407" t="str">
        <f t="shared" si="1138"/>
        <v>OK!</v>
      </c>
      <c r="O297" s="407" t="str">
        <f t="shared" si="1139"/>
        <v>OK!</v>
      </c>
      <c r="P297" s="407" t="str">
        <f t="shared" si="1140"/>
        <v>OK!</v>
      </c>
      <c r="Q297" s="407" t="str">
        <f t="shared" si="1141"/>
        <v>OK!</v>
      </c>
      <c r="R297" s="407" t="str">
        <f t="shared" si="1142"/>
        <v>OK!</v>
      </c>
      <c r="S297" s="407" t="str">
        <f t="shared" si="1143"/>
        <v>OK!</v>
      </c>
      <c r="T297" s="407" t="str">
        <f t="shared" si="1144"/>
        <v>OK!</v>
      </c>
    </row>
    <row r="298" spans="1:20" x14ac:dyDescent="0.15">
      <c r="A298" s="565" t="str">
        <f>A$10</f>
        <v>Shpenzimet kapitale</v>
      </c>
      <c r="B298" s="566"/>
      <c r="C298" s="563">
        <f>C299-C296-C297</f>
        <v>0</v>
      </c>
      <c r="D298" s="561">
        <f>D299-D296-D297</f>
        <v>0</v>
      </c>
      <c r="E298" s="561">
        <f>E299-E296-E297</f>
        <v>1200</v>
      </c>
      <c r="F298" s="407" t="str">
        <f t="shared" si="1130"/>
        <v>OK!</v>
      </c>
      <c r="G298" s="407" t="str">
        <f t="shared" si="1131"/>
        <v>OK!</v>
      </c>
      <c r="H298" s="407" t="str">
        <f t="shared" si="1132"/>
        <v>OK!</v>
      </c>
      <c r="I298" s="407" t="str">
        <f t="shared" si="1133"/>
        <v>OK!</v>
      </c>
      <c r="J298" s="407" t="str">
        <f t="shared" si="1134"/>
        <v>OK!</v>
      </c>
      <c r="K298" s="407" t="str">
        <f t="shared" si="1135"/>
        <v>OK!</v>
      </c>
      <c r="L298" s="407" t="str">
        <f t="shared" si="1136"/>
        <v>OK!</v>
      </c>
      <c r="M298" s="407" t="str">
        <f t="shared" si="1137"/>
        <v>OK!</v>
      </c>
      <c r="N298" s="407" t="str">
        <f t="shared" si="1138"/>
        <v>OK!</v>
      </c>
      <c r="O298" s="407" t="str">
        <f t="shared" si="1139"/>
        <v>OK!</v>
      </c>
      <c r="P298" s="407" t="str">
        <f t="shared" si="1140"/>
        <v>OK!</v>
      </c>
      <c r="Q298" s="407" t="str">
        <f t="shared" si="1141"/>
        <v>OK!</v>
      </c>
      <c r="R298" s="407" t="str">
        <f t="shared" si="1142"/>
        <v>OK!</v>
      </c>
      <c r="S298" s="407" t="str">
        <f t="shared" si="1143"/>
        <v>OK!</v>
      </c>
      <c r="T298" s="407" t="str">
        <f t="shared" si="1144"/>
        <v>OK!</v>
      </c>
    </row>
    <row r="299" spans="1:20" x14ac:dyDescent="0.15">
      <c r="A299" s="555" t="str">
        <f>A$11</f>
        <v>Tavanet e përgjithshme</v>
      </c>
      <c r="B299" s="556"/>
      <c r="C299" s="564">
        <v>11970</v>
      </c>
      <c r="D299" s="564">
        <f>11970+2000</f>
        <v>13970</v>
      </c>
      <c r="E299" s="564">
        <f>11970+1200</f>
        <v>13170</v>
      </c>
      <c r="F299" s="407" t="str">
        <f>IF(C299&lt;0,"STOPP!","OK!")</f>
        <v>OK!</v>
      </c>
      <c r="G299" s="407" t="str">
        <f t="shared" si="1131"/>
        <v>OK!</v>
      </c>
      <c r="H299" s="407" t="str">
        <f t="shared" si="1132"/>
        <v>OK!</v>
      </c>
      <c r="I299" s="407" t="str">
        <f t="shared" si="1133"/>
        <v>OK!</v>
      </c>
      <c r="J299" s="407" t="str">
        <f t="shared" si="1134"/>
        <v>OK!</v>
      </c>
      <c r="K299" s="407" t="str">
        <f t="shared" si="1135"/>
        <v>OK!</v>
      </c>
      <c r="L299" s="407" t="str">
        <f t="shared" si="1136"/>
        <v>OK!</v>
      </c>
      <c r="M299" s="407" t="str">
        <f t="shared" si="1137"/>
        <v>OK!</v>
      </c>
      <c r="N299" s="407" t="str">
        <f t="shared" si="1138"/>
        <v>OK!</v>
      </c>
      <c r="O299" s="407" t="str">
        <f t="shared" si="1139"/>
        <v>OK!</v>
      </c>
      <c r="P299" s="407" t="str">
        <f t="shared" si="1140"/>
        <v>OK!</v>
      </c>
      <c r="Q299" s="407" t="str">
        <f t="shared" si="1141"/>
        <v>OK!</v>
      </c>
      <c r="R299" s="407" t="str">
        <f t="shared" si="1142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7" t="str">
        <f>A$12</f>
        <v>Angazhimet kujtesë</v>
      </c>
      <c r="B300" s="563"/>
      <c r="C300" s="563">
        <f>'(C5) Angazhimet'!D102</f>
        <v>0</v>
      </c>
      <c r="D300" s="563">
        <f>'(C5) Angazhimet'!E102</f>
        <v>0</v>
      </c>
      <c r="E300" s="563">
        <f>'(C5) Angazhimet'!F102</f>
        <v>0</v>
      </c>
      <c r="F300" s="407" t="str">
        <f>IF(C300&gt;C299,"STOPP!","OK!")</f>
        <v>OK!</v>
      </c>
      <c r="G300" s="407" t="str">
        <f t="shared" si="1131"/>
        <v>OK!</v>
      </c>
      <c r="H300" s="407" t="str">
        <f t="shared" si="1132"/>
        <v>OK!</v>
      </c>
      <c r="I300" s="407" t="str">
        <f t="shared" si="1133"/>
        <v>OK!</v>
      </c>
      <c r="J300" s="407" t="str">
        <f t="shared" si="1134"/>
        <v>OK!</v>
      </c>
      <c r="K300" s="407" t="str">
        <f t="shared" si="1135"/>
        <v>OK!</v>
      </c>
      <c r="L300" s="407" t="str">
        <f t="shared" si="1136"/>
        <v>OK!</v>
      </c>
      <c r="M300" s="407" t="str">
        <f t="shared" si="1137"/>
        <v>OK!</v>
      </c>
      <c r="N300" s="407" t="str">
        <f t="shared" si="1138"/>
        <v>OK!</v>
      </c>
      <c r="O300" s="407" t="str">
        <f t="shared" si="1139"/>
        <v>OK!</v>
      </c>
      <c r="P300" s="407" t="str">
        <f t="shared" si="1140"/>
        <v>OK!</v>
      </c>
      <c r="Q300" s="407" t="str">
        <f t="shared" si="1141"/>
        <v>OK!</v>
      </c>
      <c r="R300" s="407" t="str">
        <f t="shared" si="1142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6" t="str">
        <f>'(B2) Struktura Organizative'!A49</f>
        <v>Nënfunksioni 18</v>
      </c>
      <c r="B301" s="894" t="str">
        <f>'(B2) Struktura Organizative'!B49</f>
        <v xml:space="preserve">072 Shërbimet e kujdesit parësor </v>
      </c>
      <c r="C301" s="895"/>
      <c r="D301" s="895"/>
      <c r="E301" s="896"/>
      <c r="G301" s="312">
        <f>C305</f>
        <v>24530</v>
      </c>
      <c r="H301" s="312">
        <f t="shared" ref="H301" si="1145">D305</f>
        <v>24530</v>
      </c>
      <c r="I301" s="312">
        <f t="shared" ref="I301" si="1146">E305</f>
        <v>24530</v>
      </c>
      <c r="J301" s="312">
        <f>C302</f>
        <v>13980</v>
      </c>
      <c r="K301" s="312">
        <f t="shared" ref="K301" si="1147">D302</f>
        <v>13980</v>
      </c>
      <c r="L301" s="312">
        <f t="shared" ref="L301" si="1148">E302</f>
        <v>13980</v>
      </c>
      <c r="M301" s="312">
        <f>C303</f>
        <v>10550</v>
      </c>
      <c r="N301" s="312">
        <f t="shared" ref="N301" si="1149">D303</f>
        <v>10550</v>
      </c>
      <c r="O301" s="312">
        <f t="shared" ref="O301" si="1150">E303</f>
        <v>10550</v>
      </c>
      <c r="P301" s="312">
        <f>C304</f>
        <v>0</v>
      </c>
      <c r="Q301" s="312">
        <f t="shared" ref="Q301" si="1151">D304</f>
        <v>0</v>
      </c>
      <c r="R301" s="312">
        <f t="shared" ref="R301" si="1152">E304</f>
        <v>0</v>
      </c>
    </row>
    <row r="302" spans="1:20" x14ac:dyDescent="0.15">
      <c r="A302" s="286" t="str">
        <f>A$8</f>
        <v>Pagat dhe sigurimet shoqërore</v>
      </c>
      <c r="B302" s="286"/>
      <c r="C302" s="563">
        <f>C308</f>
        <v>13980</v>
      </c>
      <c r="D302" s="563">
        <f t="shared" ref="D302:E302" si="1153">D308</f>
        <v>13980</v>
      </c>
      <c r="E302" s="563">
        <f t="shared" si="1153"/>
        <v>13980</v>
      </c>
      <c r="F302" s="407" t="str">
        <f t="shared" ref="F302:F304" si="1154">IF(C302&lt;0,"STOPP!","OK!")</f>
        <v>OK!</v>
      </c>
      <c r="G302" s="407" t="str">
        <f t="shared" ref="G302:G304" si="1155">IF(D302&lt;0,"STOPP!","OK!")</f>
        <v>OK!</v>
      </c>
      <c r="H302" s="407" t="str">
        <f t="shared" ref="H302:H304" si="1156">IF(E302&lt;0,"STOPP!","OK!")</f>
        <v>OK!</v>
      </c>
      <c r="I302" s="407" t="str">
        <f t="shared" ref="I302:I304" si="1157">IF(F302&lt;0,"STOPP!","OK!")</f>
        <v>OK!</v>
      </c>
      <c r="J302" s="407" t="str">
        <f t="shared" ref="J302:J304" si="1158">IF(G302&lt;0,"STOPP!","OK!")</f>
        <v>OK!</v>
      </c>
      <c r="K302" s="407" t="str">
        <f t="shared" ref="K302:K304" si="1159">IF(H302&lt;0,"STOPP!","OK!")</f>
        <v>OK!</v>
      </c>
      <c r="L302" s="407" t="str">
        <f t="shared" ref="L302:L304" si="1160">IF(I302&lt;0,"STOPP!","OK!")</f>
        <v>OK!</v>
      </c>
      <c r="M302" s="407" t="str">
        <f t="shared" ref="M302:M304" si="1161">IF(J302&lt;0,"STOPP!","OK!")</f>
        <v>OK!</v>
      </c>
      <c r="N302" s="407" t="str">
        <f t="shared" ref="N302:N304" si="1162">IF(K302&lt;0,"STOPP!","OK!")</f>
        <v>OK!</v>
      </c>
      <c r="O302" s="407" t="str">
        <f t="shared" ref="O302:O304" si="1163">IF(L302&lt;0,"STOPP!","OK!")</f>
        <v>OK!</v>
      </c>
      <c r="P302" s="407" t="str">
        <f t="shared" ref="P302:P304" si="1164">IF(M302&lt;0,"STOPP!","OK!")</f>
        <v>OK!</v>
      </c>
      <c r="Q302" s="407" t="str">
        <f t="shared" ref="Q302:Q304" si="1165">IF(N302&lt;0,"STOPP!","OK!")</f>
        <v>OK!</v>
      </c>
      <c r="R302" s="407" t="str">
        <f t="shared" ref="R302:R304" si="1166">IF(O302&lt;0,"STOPP!","OK!")</f>
        <v>OK!</v>
      </c>
      <c r="S302" s="407" t="str">
        <f t="shared" ref="S302:S304" si="1167">IF(D302&lt;0,"STOPP!","OK!")</f>
        <v>OK!</v>
      </c>
      <c r="T302" s="407" t="str">
        <f t="shared" ref="T302:T304" si="1168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3">
        <f>C309</f>
        <v>10550</v>
      </c>
      <c r="D303" s="563">
        <f t="shared" ref="D303:E303" si="1169">D309</f>
        <v>10550</v>
      </c>
      <c r="E303" s="563">
        <f t="shared" si="1169"/>
        <v>10550</v>
      </c>
      <c r="F303" s="407" t="str">
        <f t="shared" si="1154"/>
        <v>OK!</v>
      </c>
      <c r="G303" s="407" t="str">
        <f t="shared" si="1155"/>
        <v>OK!</v>
      </c>
      <c r="H303" s="407" t="str">
        <f t="shared" si="1156"/>
        <v>OK!</v>
      </c>
      <c r="I303" s="407" t="str">
        <f t="shared" si="1157"/>
        <v>OK!</v>
      </c>
      <c r="J303" s="407" t="str">
        <f t="shared" si="1158"/>
        <v>OK!</v>
      </c>
      <c r="K303" s="407" t="str">
        <f t="shared" si="1159"/>
        <v>OK!</v>
      </c>
      <c r="L303" s="407" t="str">
        <f t="shared" si="1160"/>
        <v>OK!</v>
      </c>
      <c r="M303" s="407" t="str">
        <f t="shared" si="1161"/>
        <v>OK!</v>
      </c>
      <c r="N303" s="407" t="str">
        <f t="shared" si="1162"/>
        <v>OK!</v>
      </c>
      <c r="O303" s="407" t="str">
        <f t="shared" si="1163"/>
        <v>OK!</v>
      </c>
      <c r="P303" s="407" t="str">
        <f t="shared" si="1164"/>
        <v>OK!</v>
      </c>
      <c r="Q303" s="407" t="str">
        <f t="shared" si="1165"/>
        <v>OK!</v>
      </c>
      <c r="R303" s="407" t="str">
        <f t="shared" si="1166"/>
        <v>OK!</v>
      </c>
      <c r="S303" s="407" t="str">
        <f t="shared" si="1167"/>
        <v>OK!</v>
      </c>
      <c r="T303" s="407" t="str">
        <f t="shared" si="1168"/>
        <v>OK!</v>
      </c>
    </row>
    <row r="304" spans="1:20" x14ac:dyDescent="0.15">
      <c r="A304" s="565" t="str">
        <f>A$10</f>
        <v>Shpenzimet kapitale</v>
      </c>
      <c r="B304" s="566"/>
      <c r="C304" s="563">
        <f>C305-C302-C303</f>
        <v>0</v>
      </c>
      <c r="D304" s="561">
        <f>D305-D302-D303</f>
        <v>0</v>
      </c>
      <c r="E304" s="561">
        <f>E305-E302-E303</f>
        <v>0</v>
      </c>
      <c r="F304" s="407" t="str">
        <f t="shared" si="1154"/>
        <v>OK!</v>
      </c>
      <c r="G304" s="407" t="str">
        <f t="shared" si="1155"/>
        <v>OK!</v>
      </c>
      <c r="H304" s="407" t="str">
        <f t="shared" si="1156"/>
        <v>OK!</v>
      </c>
      <c r="I304" s="407" t="str">
        <f t="shared" si="1157"/>
        <v>OK!</v>
      </c>
      <c r="J304" s="407" t="str">
        <f t="shared" si="1158"/>
        <v>OK!</v>
      </c>
      <c r="K304" s="407" t="str">
        <f t="shared" si="1159"/>
        <v>OK!</v>
      </c>
      <c r="L304" s="407" t="str">
        <f t="shared" si="1160"/>
        <v>OK!</v>
      </c>
      <c r="M304" s="407" t="str">
        <f t="shared" si="1161"/>
        <v>OK!</v>
      </c>
      <c r="N304" s="407" t="str">
        <f t="shared" si="1162"/>
        <v>OK!</v>
      </c>
      <c r="O304" s="407" t="str">
        <f t="shared" si="1163"/>
        <v>OK!</v>
      </c>
      <c r="P304" s="407" t="str">
        <f t="shared" si="1164"/>
        <v>OK!</v>
      </c>
      <c r="Q304" s="407" t="str">
        <f t="shared" si="1165"/>
        <v>OK!</v>
      </c>
      <c r="R304" s="407" t="str">
        <f t="shared" si="1166"/>
        <v>OK!</v>
      </c>
      <c r="S304" s="407" t="str">
        <f t="shared" si="1167"/>
        <v>OK!</v>
      </c>
      <c r="T304" s="407" t="str">
        <f t="shared" si="1168"/>
        <v>OK!</v>
      </c>
    </row>
    <row r="305" spans="1:20" x14ac:dyDescent="0.15">
      <c r="A305" s="555" t="str">
        <f>A$11</f>
        <v>Tavanet e përgjithshme</v>
      </c>
      <c r="B305" s="556"/>
      <c r="C305" s="563">
        <f>C311</f>
        <v>24530</v>
      </c>
      <c r="D305" s="563">
        <f t="shared" ref="D305:E305" si="1170">D311</f>
        <v>24530</v>
      </c>
      <c r="E305" s="563">
        <f t="shared" si="1170"/>
        <v>24530</v>
      </c>
      <c r="F305" s="407" t="str">
        <f>IF(C305&lt;0,"STOPP!","OK!")</f>
        <v>OK!</v>
      </c>
      <c r="G305" s="407" t="str">
        <f t="shared" ref="G305:G306" si="1171">IF(D305&lt;0,"STOPP!","OK!")</f>
        <v>OK!</v>
      </c>
      <c r="H305" s="407" t="str">
        <f t="shared" ref="H305:H306" si="1172">IF(E305&lt;0,"STOPP!","OK!")</f>
        <v>OK!</v>
      </c>
      <c r="I305" s="407" t="str">
        <f t="shared" ref="I305:I306" si="1173">IF(F305&lt;0,"STOPP!","OK!")</f>
        <v>OK!</v>
      </c>
      <c r="J305" s="407" t="str">
        <f t="shared" ref="J305:J306" si="1174">IF(G305&lt;0,"STOPP!","OK!")</f>
        <v>OK!</v>
      </c>
      <c r="K305" s="407" t="str">
        <f t="shared" ref="K305:K306" si="1175">IF(H305&lt;0,"STOPP!","OK!")</f>
        <v>OK!</v>
      </c>
      <c r="L305" s="407" t="str">
        <f t="shared" ref="L305:L306" si="1176">IF(I305&lt;0,"STOPP!","OK!")</f>
        <v>OK!</v>
      </c>
      <c r="M305" s="407" t="str">
        <f t="shared" ref="M305:M306" si="1177">IF(J305&lt;0,"STOPP!","OK!")</f>
        <v>OK!</v>
      </c>
      <c r="N305" s="407" t="str">
        <f t="shared" ref="N305:N306" si="1178">IF(K305&lt;0,"STOPP!","OK!")</f>
        <v>OK!</v>
      </c>
      <c r="O305" s="407" t="str">
        <f t="shared" ref="O305:O306" si="1179">IF(L305&lt;0,"STOPP!","OK!")</f>
        <v>OK!</v>
      </c>
      <c r="P305" s="407" t="str">
        <f t="shared" ref="P305:P306" si="1180">IF(M305&lt;0,"STOPP!","OK!")</f>
        <v>OK!</v>
      </c>
      <c r="Q305" s="407" t="str">
        <f t="shared" ref="Q305:Q306" si="1181">IF(N305&lt;0,"STOPP!","OK!")</f>
        <v>OK!</v>
      </c>
      <c r="R305" s="407" t="str">
        <f t="shared" ref="R305:R306" si="1182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7" t="str">
        <f>A$12</f>
        <v>Angazhimet kujtesë</v>
      </c>
      <c r="B306" s="563"/>
      <c r="C306" s="563">
        <f>'(C5) Angazhimet'!D110</f>
        <v>0</v>
      </c>
      <c r="D306" s="561">
        <f>'(C5) Angazhimet'!E110</f>
        <v>0</v>
      </c>
      <c r="E306" s="561">
        <f>'(C5) Angazhimet'!F110</f>
        <v>0</v>
      </c>
      <c r="F306" s="407" t="str">
        <f>IF(C306&gt;C305,"STOPP!","OK!")</f>
        <v>OK!</v>
      </c>
      <c r="G306" s="407" t="str">
        <f t="shared" si="1171"/>
        <v>OK!</v>
      </c>
      <c r="H306" s="407" t="str">
        <f t="shared" si="1172"/>
        <v>OK!</v>
      </c>
      <c r="I306" s="407" t="str">
        <f t="shared" si="1173"/>
        <v>OK!</v>
      </c>
      <c r="J306" s="407" t="str">
        <f t="shared" si="1174"/>
        <v>OK!</v>
      </c>
      <c r="K306" s="407" t="str">
        <f t="shared" si="1175"/>
        <v>OK!</v>
      </c>
      <c r="L306" s="407" t="str">
        <f t="shared" si="1176"/>
        <v>OK!</v>
      </c>
      <c r="M306" s="407" t="str">
        <f t="shared" si="1177"/>
        <v>OK!</v>
      </c>
      <c r="N306" s="407" t="str">
        <f t="shared" si="1178"/>
        <v>OK!</v>
      </c>
      <c r="O306" s="407" t="str">
        <f t="shared" si="1179"/>
        <v>OK!</v>
      </c>
      <c r="P306" s="407" t="str">
        <f t="shared" si="1180"/>
        <v>OK!</v>
      </c>
      <c r="Q306" s="407" t="str">
        <f t="shared" si="1181"/>
        <v>OK!</v>
      </c>
      <c r="R306" s="407" t="str">
        <f t="shared" si="1182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7" t="str">
        <f>'(B3) Struktura Funksionale'!B94</f>
        <v>07220</v>
      </c>
      <c r="B307" s="891" t="str">
        <f>'(B3) Struktura Funksionale'!C94</f>
        <v>Shërbimet e kujdesit parësor</v>
      </c>
      <c r="C307" s="892"/>
      <c r="D307" s="892"/>
      <c r="E307" s="893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>
        <f>10000+900+2180+900</f>
        <v>13980</v>
      </c>
      <c r="D308" s="287">
        <f t="shared" ref="D308:E308" si="1183">10000+900+2180+900</f>
        <v>13980</v>
      </c>
      <c r="E308" s="287">
        <f t="shared" si="1183"/>
        <v>13980</v>
      </c>
      <c r="F308" s="407" t="str">
        <f t="shared" ref="F308:F310" si="1184">IF(C308&lt;0,"STOPP!","OK!")</f>
        <v>OK!</v>
      </c>
      <c r="G308" s="407" t="str">
        <f t="shared" ref="G308:G312" si="1185">IF(D308&lt;0,"STOPP!","OK!")</f>
        <v>OK!</v>
      </c>
      <c r="H308" s="407" t="str">
        <f t="shared" ref="H308:H312" si="1186">IF(E308&lt;0,"STOPP!","OK!")</f>
        <v>OK!</v>
      </c>
      <c r="I308" s="407" t="str">
        <f t="shared" ref="I308:I312" si="1187">IF(F308&lt;0,"STOPP!","OK!")</f>
        <v>OK!</v>
      </c>
      <c r="J308" s="407" t="str">
        <f t="shared" ref="J308:J312" si="1188">IF(G308&lt;0,"STOPP!","OK!")</f>
        <v>OK!</v>
      </c>
      <c r="K308" s="407" t="str">
        <f t="shared" ref="K308:K312" si="1189">IF(H308&lt;0,"STOPP!","OK!")</f>
        <v>OK!</v>
      </c>
      <c r="L308" s="407" t="str">
        <f t="shared" ref="L308:L312" si="1190">IF(I308&lt;0,"STOPP!","OK!")</f>
        <v>OK!</v>
      </c>
      <c r="M308" s="407" t="str">
        <f t="shared" ref="M308:M312" si="1191">IF(J308&lt;0,"STOPP!","OK!")</f>
        <v>OK!</v>
      </c>
      <c r="N308" s="407" t="str">
        <f t="shared" ref="N308:N312" si="1192">IF(K308&lt;0,"STOPP!","OK!")</f>
        <v>OK!</v>
      </c>
      <c r="O308" s="407" t="str">
        <f t="shared" ref="O308:O312" si="1193">IF(L308&lt;0,"STOPP!","OK!")</f>
        <v>OK!</v>
      </c>
      <c r="P308" s="407" t="str">
        <f t="shared" ref="P308:P312" si="1194">IF(M308&lt;0,"STOPP!","OK!")</f>
        <v>OK!</v>
      </c>
      <c r="Q308" s="407" t="str">
        <f t="shared" ref="Q308:Q312" si="1195">IF(N308&lt;0,"STOPP!","OK!")</f>
        <v>OK!</v>
      </c>
      <c r="R308" s="407" t="str">
        <f t="shared" ref="R308:R312" si="1196">IF(O308&lt;0,"STOPP!","OK!")</f>
        <v>OK!</v>
      </c>
      <c r="S308" s="407" t="str">
        <f t="shared" ref="S308:S310" si="1197">IF(D308&lt;0,"STOPP!","OK!")</f>
        <v>OK!</v>
      </c>
      <c r="T308" s="407" t="str">
        <f t="shared" ref="T308:T310" si="1198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>
        <f>8050+2500</f>
        <v>10550</v>
      </c>
      <c r="D309" s="288">
        <f t="shared" ref="D309:E309" si="1199">8050+2500</f>
        <v>10550</v>
      </c>
      <c r="E309" s="288">
        <f t="shared" si="1199"/>
        <v>10550</v>
      </c>
      <c r="F309" s="407" t="str">
        <f t="shared" si="1184"/>
        <v>OK!</v>
      </c>
      <c r="G309" s="407" t="str">
        <f t="shared" si="1185"/>
        <v>OK!</v>
      </c>
      <c r="H309" s="407" t="str">
        <f t="shared" si="1186"/>
        <v>OK!</v>
      </c>
      <c r="I309" s="407" t="str">
        <f t="shared" si="1187"/>
        <v>OK!</v>
      </c>
      <c r="J309" s="407" t="str">
        <f t="shared" si="1188"/>
        <v>OK!</v>
      </c>
      <c r="K309" s="407" t="str">
        <f t="shared" si="1189"/>
        <v>OK!</v>
      </c>
      <c r="L309" s="407" t="str">
        <f t="shared" si="1190"/>
        <v>OK!</v>
      </c>
      <c r="M309" s="407" t="str">
        <f t="shared" si="1191"/>
        <v>OK!</v>
      </c>
      <c r="N309" s="407" t="str">
        <f t="shared" si="1192"/>
        <v>OK!</v>
      </c>
      <c r="O309" s="407" t="str">
        <f t="shared" si="1193"/>
        <v>OK!</v>
      </c>
      <c r="P309" s="407" t="str">
        <f t="shared" si="1194"/>
        <v>OK!</v>
      </c>
      <c r="Q309" s="407" t="str">
        <f t="shared" si="1195"/>
        <v>OK!</v>
      </c>
      <c r="R309" s="407" t="str">
        <f t="shared" si="1196"/>
        <v>OK!</v>
      </c>
      <c r="S309" s="407" t="str">
        <f t="shared" si="1197"/>
        <v>OK!</v>
      </c>
      <c r="T309" s="407" t="str">
        <f t="shared" si="1198"/>
        <v>OK!</v>
      </c>
    </row>
    <row r="310" spans="1:20" x14ac:dyDescent="0.15">
      <c r="A310" s="565" t="str">
        <f>A$10</f>
        <v>Shpenzimet kapitale</v>
      </c>
      <c r="B310" s="566"/>
      <c r="C310" s="563">
        <f>C311-C308-C309</f>
        <v>0</v>
      </c>
      <c r="D310" s="561">
        <f>D311-D308-D309</f>
        <v>0</v>
      </c>
      <c r="E310" s="561">
        <f>E311-E308-E309</f>
        <v>0</v>
      </c>
      <c r="F310" s="407" t="str">
        <f t="shared" si="1184"/>
        <v>OK!</v>
      </c>
      <c r="G310" s="407" t="str">
        <f t="shared" si="1185"/>
        <v>OK!</v>
      </c>
      <c r="H310" s="407" t="str">
        <f t="shared" si="1186"/>
        <v>OK!</v>
      </c>
      <c r="I310" s="407" t="str">
        <f t="shared" si="1187"/>
        <v>OK!</v>
      </c>
      <c r="J310" s="407" t="str">
        <f t="shared" si="1188"/>
        <v>OK!</v>
      </c>
      <c r="K310" s="407" t="str">
        <f t="shared" si="1189"/>
        <v>OK!</v>
      </c>
      <c r="L310" s="407" t="str">
        <f t="shared" si="1190"/>
        <v>OK!</v>
      </c>
      <c r="M310" s="407" t="str">
        <f t="shared" si="1191"/>
        <v>OK!</v>
      </c>
      <c r="N310" s="407" t="str">
        <f t="shared" si="1192"/>
        <v>OK!</v>
      </c>
      <c r="O310" s="407" t="str">
        <f t="shared" si="1193"/>
        <v>OK!</v>
      </c>
      <c r="P310" s="407" t="str">
        <f t="shared" si="1194"/>
        <v>OK!</v>
      </c>
      <c r="Q310" s="407" t="str">
        <f t="shared" si="1195"/>
        <v>OK!</v>
      </c>
      <c r="R310" s="407" t="str">
        <f t="shared" si="1196"/>
        <v>OK!</v>
      </c>
      <c r="S310" s="407" t="str">
        <f t="shared" si="1197"/>
        <v>OK!</v>
      </c>
      <c r="T310" s="407" t="str">
        <f t="shared" si="1198"/>
        <v>OK!</v>
      </c>
    </row>
    <row r="311" spans="1:20" x14ac:dyDescent="0.15">
      <c r="A311" s="555" t="str">
        <f>A$11</f>
        <v>Tavanet e përgjithshme</v>
      </c>
      <c r="B311" s="556"/>
      <c r="C311" s="564">
        <v>24530</v>
      </c>
      <c r="D311" s="564">
        <v>24530</v>
      </c>
      <c r="E311" s="564">
        <v>24530</v>
      </c>
      <c r="F311" s="407" t="str">
        <f>IF(C311&lt;0,"STOPP!","OK!")</f>
        <v>OK!</v>
      </c>
      <c r="G311" s="407" t="str">
        <f t="shared" si="1185"/>
        <v>OK!</v>
      </c>
      <c r="H311" s="407" t="str">
        <f t="shared" si="1186"/>
        <v>OK!</v>
      </c>
      <c r="I311" s="407" t="str">
        <f t="shared" si="1187"/>
        <v>OK!</v>
      </c>
      <c r="J311" s="407" t="str">
        <f t="shared" si="1188"/>
        <v>OK!</v>
      </c>
      <c r="K311" s="407" t="str">
        <f t="shared" si="1189"/>
        <v>OK!</v>
      </c>
      <c r="L311" s="407" t="str">
        <f t="shared" si="1190"/>
        <v>OK!</v>
      </c>
      <c r="M311" s="407" t="str">
        <f t="shared" si="1191"/>
        <v>OK!</v>
      </c>
      <c r="N311" s="407" t="str">
        <f t="shared" si="1192"/>
        <v>OK!</v>
      </c>
      <c r="O311" s="407" t="str">
        <f t="shared" si="1193"/>
        <v>OK!</v>
      </c>
      <c r="P311" s="407" t="str">
        <f t="shared" si="1194"/>
        <v>OK!</v>
      </c>
      <c r="Q311" s="407" t="str">
        <f t="shared" si="1195"/>
        <v>OK!</v>
      </c>
      <c r="R311" s="407" t="str">
        <f t="shared" si="1196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7" t="str">
        <f>A$12</f>
        <v>Angazhimet kujtesë</v>
      </c>
      <c r="B312" s="563"/>
      <c r="C312" s="563">
        <f>'(C5) Angazhimet'!D107</f>
        <v>0</v>
      </c>
      <c r="D312" s="563">
        <f>'(C5) Angazhimet'!E107</f>
        <v>0</v>
      </c>
      <c r="E312" s="563">
        <f>'(C5) Angazhimet'!F107</f>
        <v>0</v>
      </c>
      <c r="F312" s="407" t="str">
        <f>IF(C312&gt;C311,"STOPP!","OK!")</f>
        <v>OK!</v>
      </c>
      <c r="G312" s="407" t="str">
        <f t="shared" si="1185"/>
        <v>OK!</v>
      </c>
      <c r="H312" s="407" t="str">
        <f t="shared" si="1186"/>
        <v>OK!</v>
      </c>
      <c r="I312" s="407" t="str">
        <f t="shared" si="1187"/>
        <v>OK!</v>
      </c>
      <c r="J312" s="407" t="str">
        <f t="shared" si="1188"/>
        <v>OK!</v>
      </c>
      <c r="K312" s="407" t="str">
        <f t="shared" si="1189"/>
        <v>OK!</v>
      </c>
      <c r="L312" s="407" t="str">
        <f t="shared" si="1190"/>
        <v>OK!</v>
      </c>
      <c r="M312" s="407" t="str">
        <f t="shared" si="1191"/>
        <v>OK!</v>
      </c>
      <c r="N312" s="407" t="str">
        <f t="shared" si="1192"/>
        <v>OK!</v>
      </c>
      <c r="O312" s="407" t="str">
        <f t="shared" si="1193"/>
        <v>OK!</v>
      </c>
      <c r="P312" s="407" t="str">
        <f t="shared" si="1194"/>
        <v>OK!</v>
      </c>
      <c r="Q312" s="407" t="str">
        <f t="shared" si="1195"/>
        <v>OK!</v>
      </c>
      <c r="R312" s="407" t="str">
        <f t="shared" si="1196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6" t="str">
        <f>'(B2) Struktura Organizative'!A51</f>
        <v>Nënfunksioni 19</v>
      </c>
      <c r="B313" s="894" t="str">
        <f>'(B2) Struktura Organizative'!B51</f>
        <v>081 Shërbimet rekreative dhe sportive</v>
      </c>
      <c r="C313" s="895"/>
      <c r="D313" s="895"/>
      <c r="E313" s="896"/>
      <c r="G313" s="312">
        <f>C317</f>
        <v>28076</v>
      </c>
      <c r="H313" s="312">
        <f t="shared" ref="H313" si="1200">D317</f>
        <v>28076</v>
      </c>
      <c r="I313" s="312">
        <f t="shared" ref="I313" si="1201">E317</f>
        <v>28076</v>
      </c>
      <c r="J313" s="312">
        <f>C314</f>
        <v>9776</v>
      </c>
      <c r="K313" s="312">
        <f t="shared" ref="K313" si="1202">D314</f>
        <v>9776</v>
      </c>
      <c r="L313" s="312">
        <f t="shared" ref="L313" si="1203">E314</f>
        <v>9776</v>
      </c>
      <c r="M313" s="312">
        <f>C315</f>
        <v>18300</v>
      </c>
      <c r="N313" s="312">
        <f t="shared" ref="N313" si="1204">D315</f>
        <v>18300</v>
      </c>
      <c r="O313" s="312">
        <f t="shared" ref="O313" si="1205">E315</f>
        <v>18300</v>
      </c>
      <c r="P313" s="312">
        <f>C316</f>
        <v>0</v>
      </c>
      <c r="Q313" s="312">
        <f t="shared" ref="Q313" si="1206">D316</f>
        <v>0</v>
      </c>
      <c r="R313" s="312">
        <f t="shared" ref="R313" si="1207">E316</f>
        <v>0</v>
      </c>
    </row>
    <row r="314" spans="1:20" x14ac:dyDescent="0.15">
      <c r="A314" s="286" t="str">
        <f>A$8</f>
        <v>Pagat dhe sigurimet shoqërore</v>
      </c>
      <c r="B314" s="286"/>
      <c r="C314" s="563">
        <f>C320+C326</f>
        <v>9776</v>
      </c>
      <c r="D314" s="563">
        <f t="shared" ref="D314:E314" si="1208">D320+D326</f>
        <v>9776</v>
      </c>
      <c r="E314" s="563">
        <f t="shared" si="1208"/>
        <v>9776</v>
      </c>
      <c r="F314" s="407" t="str">
        <f t="shared" ref="F314:F316" si="1209">IF(C314&lt;0,"STOPP!","OK!")</f>
        <v>OK!</v>
      </c>
      <c r="G314" s="407" t="str">
        <f t="shared" ref="G314:G316" si="1210">IF(D314&lt;0,"STOPP!","OK!")</f>
        <v>OK!</v>
      </c>
      <c r="H314" s="407" t="str">
        <f t="shared" ref="H314:H316" si="1211">IF(E314&lt;0,"STOPP!","OK!")</f>
        <v>OK!</v>
      </c>
      <c r="I314" s="407" t="str">
        <f t="shared" ref="I314:I316" si="1212">IF(F314&lt;0,"STOPP!","OK!")</f>
        <v>OK!</v>
      </c>
      <c r="J314" s="407" t="str">
        <f t="shared" ref="J314:J316" si="1213">IF(G314&lt;0,"STOPP!","OK!")</f>
        <v>OK!</v>
      </c>
      <c r="K314" s="407" t="str">
        <f t="shared" ref="K314:K316" si="1214">IF(H314&lt;0,"STOPP!","OK!")</f>
        <v>OK!</v>
      </c>
      <c r="L314" s="407" t="str">
        <f t="shared" ref="L314:L316" si="1215">IF(I314&lt;0,"STOPP!","OK!")</f>
        <v>OK!</v>
      </c>
      <c r="M314" s="407" t="str">
        <f t="shared" ref="M314:M316" si="1216">IF(J314&lt;0,"STOPP!","OK!")</f>
        <v>OK!</v>
      </c>
      <c r="N314" s="407" t="str">
        <f t="shared" ref="N314:N316" si="1217">IF(K314&lt;0,"STOPP!","OK!")</f>
        <v>OK!</v>
      </c>
      <c r="O314" s="407" t="str">
        <f t="shared" ref="O314:O316" si="1218">IF(L314&lt;0,"STOPP!","OK!")</f>
        <v>OK!</v>
      </c>
      <c r="P314" s="407" t="str">
        <f t="shared" ref="P314:P316" si="1219">IF(M314&lt;0,"STOPP!","OK!")</f>
        <v>OK!</v>
      </c>
      <c r="Q314" s="407" t="str">
        <f t="shared" ref="Q314:Q316" si="1220">IF(N314&lt;0,"STOPP!","OK!")</f>
        <v>OK!</v>
      </c>
      <c r="R314" s="407" t="str">
        <f t="shared" ref="R314:R316" si="1221">IF(O314&lt;0,"STOPP!","OK!")</f>
        <v>OK!</v>
      </c>
      <c r="S314" s="407" t="str">
        <f t="shared" ref="S314:S316" si="1222">IF(D314&lt;0,"STOPP!","OK!")</f>
        <v>OK!</v>
      </c>
      <c r="T314" s="407" t="str">
        <f t="shared" ref="T314:T316" si="1223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3">
        <f>C321+C327</f>
        <v>18300</v>
      </c>
      <c r="D315" s="563">
        <f t="shared" ref="D315:E315" si="1224">D321+D327</f>
        <v>18300</v>
      </c>
      <c r="E315" s="563">
        <f t="shared" si="1224"/>
        <v>18300</v>
      </c>
      <c r="F315" s="407" t="str">
        <f t="shared" si="1209"/>
        <v>OK!</v>
      </c>
      <c r="G315" s="407" t="str">
        <f t="shared" si="1210"/>
        <v>OK!</v>
      </c>
      <c r="H315" s="407" t="str">
        <f t="shared" si="1211"/>
        <v>OK!</v>
      </c>
      <c r="I315" s="407" t="str">
        <f t="shared" si="1212"/>
        <v>OK!</v>
      </c>
      <c r="J315" s="407" t="str">
        <f t="shared" si="1213"/>
        <v>OK!</v>
      </c>
      <c r="K315" s="407" t="str">
        <f t="shared" si="1214"/>
        <v>OK!</v>
      </c>
      <c r="L315" s="407" t="str">
        <f t="shared" si="1215"/>
        <v>OK!</v>
      </c>
      <c r="M315" s="407" t="str">
        <f t="shared" si="1216"/>
        <v>OK!</v>
      </c>
      <c r="N315" s="407" t="str">
        <f t="shared" si="1217"/>
        <v>OK!</v>
      </c>
      <c r="O315" s="407" t="str">
        <f t="shared" si="1218"/>
        <v>OK!</v>
      </c>
      <c r="P315" s="407" t="str">
        <f t="shared" si="1219"/>
        <v>OK!</v>
      </c>
      <c r="Q315" s="407" t="str">
        <f t="shared" si="1220"/>
        <v>OK!</v>
      </c>
      <c r="R315" s="407" t="str">
        <f t="shared" si="1221"/>
        <v>OK!</v>
      </c>
      <c r="S315" s="407" t="str">
        <f t="shared" si="1222"/>
        <v>OK!</v>
      </c>
      <c r="T315" s="407" t="str">
        <f t="shared" si="1223"/>
        <v>OK!</v>
      </c>
    </row>
    <row r="316" spans="1:20" x14ac:dyDescent="0.15">
      <c r="A316" s="565" t="str">
        <f>A$10</f>
        <v>Shpenzimet kapitale</v>
      </c>
      <c r="B316" s="566"/>
      <c r="C316" s="563">
        <f>C317-C314-C315</f>
        <v>0</v>
      </c>
      <c r="D316" s="561">
        <f>D317-D314-D315</f>
        <v>0</v>
      </c>
      <c r="E316" s="561">
        <f>E317-E314-E315</f>
        <v>0</v>
      </c>
      <c r="F316" s="407" t="str">
        <f t="shared" si="1209"/>
        <v>OK!</v>
      </c>
      <c r="G316" s="407" t="str">
        <f t="shared" si="1210"/>
        <v>OK!</v>
      </c>
      <c r="H316" s="407" t="str">
        <f t="shared" si="1211"/>
        <v>OK!</v>
      </c>
      <c r="I316" s="407" t="str">
        <f t="shared" si="1212"/>
        <v>OK!</v>
      </c>
      <c r="J316" s="407" t="str">
        <f t="shared" si="1213"/>
        <v>OK!</v>
      </c>
      <c r="K316" s="407" t="str">
        <f t="shared" si="1214"/>
        <v>OK!</v>
      </c>
      <c r="L316" s="407" t="str">
        <f t="shared" si="1215"/>
        <v>OK!</v>
      </c>
      <c r="M316" s="407" t="str">
        <f t="shared" si="1216"/>
        <v>OK!</v>
      </c>
      <c r="N316" s="407" t="str">
        <f t="shared" si="1217"/>
        <v>OK!</v>
      </c>
      <c r="O316" s="407" t="str">
        <f t="shared" si="1218"/>
        <v>OK!</v>
      </c>
      <c r="P316" s="407" t="str">
        <f t="shared" si="1219"/>
        <v>OK!</v>
      </c>
      <c r="Q316" s="407" t="str">
        <f t="shared" si="1220"/>
        <v>OK!</v>
      </c>
      <c r="R316" s="407" t="str">
        <f t="shared" si="1221"/>
        <v>OK!</v>
      </c>
      <c r="S316" s="407" t="str">
        <f t="shared" si="1222"/>
        <v>OK!</v>
      </c>
      <c r="T316" s="407" t="str">
        <f t="shared" si="1223"/>
        <v>OK!</v>
      </c>
    </row>
    <row r="317" spans="1:20" x14ac:dyDescent="0.15">
      <c r="A317" s="555" t="str">
        <f>A$11</f>
        <v>Tavanet e përgjithshme</v>
      </c>
      <c r="B317" s="556"/>
      <c r="C317" s="563">
        <f>C323+C329</f>
        <v>28076</v>
      </c>
      <c r="D317" s="563">
        <f t="shared" ref="D317:E317" si="1225">D323+D329</f>
        <v>28076</v>
      </c>
      <c r="E317" s="563">
        <f t="shared" si="1225"/>
        <v>28076</v>
      </c>
      <c r="F317" s="407" t="str">
        <f>IF(C317&lt;0,"STOPP!","OK!")</f>
        <v>OK!</v>
      </c>
      <c r="G317" s="407" t="str">
        <f t="shared" ref="G317:G318" si="1226">IF(D317&lt;0,"STOPP!","OK!")</f>
        <v>OK!</v>
      </c>
      <c r="H317" s="407" t="str">
        <f t="shared" ref="H317:H318" si="1227">IF(E317&lt;0,"STOPP!","OK!")</f>
        <v>OK!</v>
      </c>
      <c r="I317" s="407" t="str">
        <f t="shared" ref="I317:I318" si="1228">IF(F317&lt;0,"STOPP!","OK!")</f>
        <v>OK!</v>
      </c>
      <c r="J317" s="407" t="str">
        <f t="shared" ref="J317:J318" si="1229">IF(G317&lt;0,"STOPP!","OK!")</f>
        <v>OK!</v>
      </c>
      <c r="K317" s="407" t="str">
        <f t="shared" ref="K317:K318" si="1230">IF(H317&lt;0,"STOPP!","OK!")</f>
        <v>OK!</v>
      </c>
      <c r="L317" s="407" t="str">
        <f t="shared" ref="L317:L318" si="1231">IF(I317&lt;0,"STOPP!","OK!")</f>
        <v>OK!</v>
      </c>
      <c r="M317" s="407" t="str">
        <f t="shared" ref="M317:M318" si="1232">IF(J317&lt;0,"STOPP!","OK!")</f>
        <v>OK!</v>
      </c>
      <c r="N317" s="407" t="str">
        <f t="shared" ref="N317:N318" si="1233">IF(K317&lt;0,"STOPP!","OK!")</f>
        <v>OK!</v>
      </c>
      <c r="O317" s="407" t="str">
        <f t="shared" ref="O317:O318" si="1234">IF(L317&lt;0,"STOPP!","OK!")</f>
        <v>OK!</v>
      </c>
      <c r="P317" s="407" t="str">
        <f t="shared" ref="P317:P318" si="1235">IF(M317&lt;0,"STOPP!","OK!")</f>
        <v>OK!</v>
      </c>
      <c r="Q317" s="407" t="str">
        <f t="shared" ref="Q317:Q318" si="1236">IF(N317&lt;0,"STOPP!","OK!")</f>
        <v>OK!</v>
      </c>
      <c r="R317" s="407" t="str">
        <f t="shared" ref="R317:R318" si="1237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7" t="str">
        <f>A$12</f>
        <v>Angazhimet kujtesë</v>
      </c>
      <c r="B318" s="563"/>
      <c r="C318" s="563">
        <f>'(C5) Angazhimet'!D115</f>
        <v>0</v>
      </c>
      <c r="D318" s="561">
        <f>'(C5) Angazhimet'!E115</f>
        <v>0</v>
      </c>
      <c r="E318" s="561">
        <f>'(C5) Angazhimet'!F115</f>
        <v>0</v>
      </c>
      <c r="F318" s="407" t="str">
        <f>IF(C318&gt;C317,"STOPP!","OK!")</f>
        <v>OK!</v>
      </c>
      <c r="G318" s="407" t="str">
        <f t="shared" si="1226"/>
        <v>OK!</v>
      </c>
      <c r="H318" s="407" t="str">
        <f t="shared" si="1227"/>
        <v>OK!</v>
      </c>
      <c r="I318" s="407" t="str">
        <f t="shared" si="1228"/>
        <v>OK!</v>
      </c>
      <c r="J318" s="407" t="str">
        <f t="shared" si="1229"/>
        <v>OK!</v>
      </c>
      <c r="K318" s="407" t="str">
        <f t="shared" si="1230"/>
        <v>OK!</v>
      </c>
      <c r="L318" s="407" t="str">
        <f t="shared" si="1231"/>
        <v>OK!</v>
      </c>
      <c r="M318" s="407" t="str">
        <f t="shared" si="1232"/>
        <v>OK!</v>
      </c>
      <c r="N318" s="407" t="str">
        <f t="shared" si="1233"/>
        <v>OK!</v>
      </c>
      <c r="O318" s="407" t="str">
        <f t="shared" si="1234"/>
        <v>OK!</v>
      </c>
      <c r="P318" s="407" t="str">
        <f t="shared" si="1235"/>
        <v>OK!</v>
      </c>
      <c r="Q318" s="407" t="str">
        <f t="shared" si="1236"/>
        <v>OK!</v>
      </c>
      <c r="R318" s="407" t="str">
        <f t="shared" si="1237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7" t="str">
        <f>'(B3) Struktura Funksionale'!B99</f>
        <v>08120</v>
      </c>
      <c r="B319" s="891" t="str">
        <f>'(B3) Struktura Funksionale'!C99</f>
        <v>Parqet</v>
      </c>
      <c r="C319" s="892"/>
      <c r="D319" s="892"/>
      <c r="E319" s="893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38">IF(C320&lt;0,"STOPP!","OK!")</f>
        <v>OK!</v>
      </c>
      <c r="G320" s="407" t="str">
        <f t="shared" ref="G320:G324" si="1239">IF(D320&lt;0,"STOPP!","OK!")</f>
        <v>OK!</v>
      </c>
      <c r="H320" s="407" t="str">
        <f t="shared" ref="H320:H324" si="1240">IF(E320&lt;0,"STOPP!","OK!")</f>
        <v>OK!</v>
      </c>
      <c r="I320" s="407" t="str">
        <f t="shared" ref="I320:I324" si="1241">IF(F320&lt;0,"STOPP!","OK!")</f>
        <v>OK!</v>
      </c>
      <c r="J320" s="407" t="str">
        <f t="shared" ref="J320:J324" si="1242">IF(G320&lt;0,"STOPP!","OK!")</f>
        <v>OK!</v>
      </c>
      <c r="K320" s="407" t="str">
        <f t="shared" ref="K320:K324" si="1243">IF(H320&lt;0,"STOPP!","OK!")</f>
        <v>OK!</v>
      </c>
      <c r="L320" s="407" t="str">
        <f t="shared" ref="L320:L324" si="1244">IF(I320&lt;0,"STOPP!","OK!")</f>
        <v>OK!</v>
      </c>
      <c r="M320" s="407" t="str">
        <f t="shared" ref="M320:M324" si="1245">IF(J320&lt;0,"STOPP!","OK!")</f>
        <v>OK!</v>
      </c>
      <c r="N320" s="407" t="str">
        <f t="shared" ref="N320:N324" si="1246">IF(K320&lt;0,"STOPP!","OK!")</f>
        <v>OK!</v>
      </c>
      <c r="O320" s="407" t="str">
        <f t="shared" ref="O320:O324" si="1247">IF(L320&lt;0,"STOPP!","OK!")</f>
        <v>OK!</v>
      </c>
      <c r="P320" s="407" t="str">
        <f t="shared" ref="P320:P324" si="1248">IF(M320&lt;0,"STOPP!","OK!")</f>
        <v>OK!</v>
      </c>
      <c r="Q320" s="407" t="str">
        <f t="shared" ref="Q320:Q324" si="1249">IF(N320&lt;0,"STOPP!","OK!")</f>
        <v>OK!</v>
      </c>
      <c r="R320" s="407" t="str">
        <f t="shared" ref="R320:R324" si="1250">IF(O320&lt;0,"STOPP!","OK!")</f>
        <v>OK!</v>
      </c>
      <c r="S320" s="407" t="str">
        <f t="shared" ref="S320:S322" si="1251">IF(D320&lt;0,"STOPP!","OK!")</f>
        <v>OK!</v>
      </c>
      <c r="T320" s="407" t="str">
        <f t="shared" ref="T320:T322" si="1252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38"/>
        <v>OK!</v>
      </c>
      <c r="G321" s="407" t="str">
        <f t="shared" si="1239"/>
        <v>OK!</v>
      </c>
      <c r="H321" s="407" t="str">
        <f t="shared" si="1240"/>
        <v>OK!</v>
      </c>
      <c r="I321" s="407" t="str">
        <f t="shared" si="1241"/>
        <v>OK!</v>
      </c>
      <c r="J321" s="407" t="str">
        <f t="shared" si="1242"/>
        <v>OK!</v>
      </c>
      <c r="K321" s="407" t="str">
        <f t="shared" si="1243"/>
        <v>OK!</v>
      </c>
      <c r="L321" s="407" t="str">
        <f t="shared" si="1244"/>
        <v>OK!</v>
      </c>
      <c r="M321" s="407" t="str">
        <f t="shared" si="1245"/>
        <v>OK!</v>
      </c>
      <c r="N321" s="407" t="str">
        <f t="shared" si="1246"/>
        <v>OK!</v>
      </c>
      <c r="O321" s="407" t="str">
        <f t="shared" si="1247"/>
        <v>OK!</v>
      </c>
      <c r="P321" s="407" t="str">
        <f t="shared" si="1248"/>
        <v>OK!</v>
      </c>
      <c r="Q321" s="407" t="str">
        <f t="shared" si="1249"/>
        <v>OK!</v>
      </c>
      <c r="R321" s="407" t="str">
        <f t="shared" si="1250"/>
        <v>OK!</v>
      </c>
      <c r="S321" s="407" t="str">
        <f t="shared" si="1251"/>
        <v>OK!</v>
      </c>
      <c r="T321" s="407" t="str">
        <f t="shared" si="1252"/>
        <v>OK!</v>
      </c>
    </row>
    <row r="322" spans="1:20" hidden="1" x14ac:dyDescent="0.15">
      <c r="A322" s="565" t="str">
        <f>A$10</f>
        <v>Shpenzimet kapitale</v>
      </c>
      <c r="B322" s="566"/>
      <c r="C322" s="563">
        <f>C323-C320-C321</f>
        <v>0</v>
      </c>
      <c r="D322" s="561">
        <f>D323-D320-D321</f>
        <v>0</v>
      </c>
      <c r="E322" s="561">
        <f>E323-E320-E321</f>
        <v>0</v>
      </c>
      <c r="F322" s="407" t="str">
        <f t="shared" si="1238"/>
        <v>OK!</v>
      </c>
      <c r="G322" s="407" t="str">
        <f t="shared" si="1239"/>
        <v>OK!</v>
      </c>
      <c r="H322" s="407" t="str">
        <f t="shared" si="1240"/>
        <v>OK!</v>
      </c>
      <c r="I322" s="407" t="str">
        <f t="shared" si="1241"/>
        <v>OK!</v>
      </c>
      <c r="J322" s="407" t="str">
        <f t="shared" si="1242"/>
        <v>OK!</v>
      </c>
      <c r="K322" s="407" t="str">
        <f t="shared" si="1243"/>
        <v>OK!</v>
      </c>
      <c r="L322" s="407" t="str">
        <f t="shared" si="1244"/>
        <v>OK!</v>
      </c>
      <c r="M322" s="407" t="str">
        <f t="shared" si="1245"/>
        <v>OK!</v>
      </c>
      <c r="N322" s="407" t="str">
        <f t="shared" si="1246"/>
        <v>OK!</v>
      </c>
      <c r="O322" s="407" t="str">
        <f t="shared" si="1247"/>
        <v>OK!</v>
      </c>
      <c r="P322" s="407" t="str">
        <f t="shared" si="1248"/>
        <v>OK!</v>
      </c>
      <c r="Q322" s="407" t="str">
        <f t="shared" si="1249"/>
        <v>OK!</v>
      </c>
      <c r="R322" s="407" t="str">
        <f t="shared" si="1250"/>
        <v>OK!</v>
      </c>
      <c r="S322" s="407" t="str">
        <f t="shared" si="1251"/>
        <v>OK!</v>
      </c>
      <c r="T322" s="407" t="str">
        <f t="shared" si="1252"/>
        <v>OK!</v>
      </c>
    </row>
    <row r="323" spans="1:20" hidden="1" x14ac:dyDescent="0.15">
      <c r="A323" s="555" t="str">
        <f>A$11</f>
        <v>Tavanet e përgjithshme</v>
      </c>
      <c r="B323" s="556"/>
      <c r="C323" s="564"/>
      <c r="D323" s="562"/>
      <c r="E323" s="562"/>
      <c r="F323" s="407" t="str">
        <f>IF(C323&lt;0,"STOPP!","OK!")</f>
        <v>OK!</v>
      </c>
      <c r="G323" s="407" t="str">
        <f t="shared" si="1239"/>
        <v>OK!</v>
      </c>
      <c r="H323" s="407" t="str">
        <f t="shared" si="1240"/>
        <v>OK!</v>
      </c>
      <c r="I323" s="407" t="str">
        <f t="shared" si="1241"/>
        <v>OK!</v>
      </c>
      <c r="J323" s="407" t="str">
        <f t="shared" si="1242"/>
        <v>OK!</v>
      </c>
      <c r="K323" s="407" t="str">
        <f t="shared" si="1243"/>
        <v>OK!</v>
      </c>
      <c r="L323" s="407" t="str">
        <f t="shared" si="1244"/>
        <v>OK!</v>
      </c>
      <c r="M323" s="407" t="str">
        <f t="shared" si="1245"/>
        <v>OK!</v>
      </c>
      <c r="N323" s="407" t="str">
        <f t="shared" si="1246"/>
        <v>OK!</v>
      </c>
      <c r="O323" s="407" t="str">
        <f t="shared" si="1247"/>
        <v>OK!</v>
      </c>
      <c r="P323" s="407" t="str">
        <f t="shared" si="1248"/>
        <v>OK!</v>
      </c>
      <c r="Q323" s="407" t="str">
        <f t="shared" si="1249"/>
        <v>OK!</v>
      </c>
      <c r="R323" s="407" t="str">
        <f t="shared" si="1250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7" t="str">
        <f>A$12</f>
        <v>Angazhimet kujtesë</v>
      </c>
      <c r="B324" s="563"/>
      <c r="C324" s="563">
        <f>'(C5) Angazhimet'!D112</f>
        <v>0</v>
      </c>
      <c r="D324" s="563">
        <f>'(C5) Angazhimet'!E112</f>
        <v>0</v>
      </c>
      <c r="E324" s="563">
        <f>'(C5) Angazhimet'!F112</f>
        <v>0</v>
      </c>
      <c r="F324" s="407" t="str">
        <f>IF(C324&gt;C323,"STOPP!","OK!")</f>
        <v>OK!</v>
      </c>
      <c r="G324" s="407" t="str">
        <f t="shared" si="1239"/>
        <v>OK!</v>
      </c>
      <c r="H324" s="407" t="str">
        <f t="shared" si="1240"/>
        <v>OK!</v>
      </c>
      <c r="I324" s="407" t="str">
        <f t="shared" si="1241"/>
        <v>OK!</v>
      </c>
      <c r="J324" s="407" t="str">
        <f t="shared" si="1242"/>
        <v>OK!</v>
      </c>
      <c r="K324" s="407" t="str">
        <f t="shared" si="1243"/>
        <v>OK!</v>
      </c>
      <c r="L324" s="407" t="str">
        <f t="shared" si="1244"/>
        <v>OK!</v>
      </c>
      <c r="M324" s="407" t="str">
        <f t="shared" si="1245"/>
        <v>OK!</v>
      </c>
      <c r="N324" s="407" t="str">
        <f t="shared" si="1246"/>
        <v>OK!</v>
      </c>
      <c r="O324" s="407" t="str">
        <f t="shared" si="1247"/>
        <v>OK!</v>
      </c>
      <c r="P324" s="407" t="str">
        <f t="shared" si="1248"/>
        <v>OK!</v>
      </c>
      <c r="Q324" s="407" t="str">
        <f t="shared" si="1249"/>
        <v>OK!</v>
      </c>
      <c r="R324" s="407" t="str">
        <f t="shared" si="1250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7" t="str">
        <f>'(B3) Struktura Funksionale'!B100</f>
        <v>08130</v>
      </c>
      <c r="B325" s="891" t="str">
        <f>'(B3) Struktura Funksionale'!C100</f>
        <v>Sport dhe argëtim</v>
      </c>
      <c r="C325" s="892"/>
      <c r="D325" s="892"/>
      <c r="E325" s="893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>
        <f>2000+361+2053+351+2818+443+1500+250</f>
        <v>9776</v>
      </c>
      <c r="D326" s="287">
        <f t="shared" ref="D326:E326" si="1253">2000+361+2053+351+2818+443+1500+250</f>
        <v>9776</v>
      </c>
      <c r="E326" s="287">
        <f t="shared" si="1253"/>
        <v>9776</v>
      </c>
      <c r="F326" s="407" t="str">
        <f t="shared" ref="F326:F328" si="1254">IF(C326&lt;0,"STOPP!","OK!")</f>
        <v>OK!</v>
      </c>
      <c r="G326" s="407" t="str">
        <f t="shared" ref="G326:G330" si="1255">IF(D326&lt;0,"STOPP!","OK!")</f>
        <v>OK!</v>
      </c>
      <c r="H326" s="407" t="str">
        <f t="shared" ref="H326:H330" si="1256">IF(E326&lt;0,"STOPP!","OK!")</f>
        <v>OK!</v>
      </c>
      <c r="I326" s="407" t="str">
        <f t="shared" ref="I326:I330" si="1257">IF(F326&lt;0,"STOPP!","OK!")</f>
        <v>OK!</v>
      </c>
      <c r="J326" s="407" t="str">
        <f t="shared" ref="J326:J330" si="1258">IF(G326&lt;0,"STOPP!","OK!")</f>
        <v>OK!</v>
      </c>
      <c r="K326" s="407" t="str">
        <f t="shared" ref="K326:K330" si="1259">IF(H326&lt;0,"STOPP!","OK!")</f>
        <v>OK!</v>
      </c>
      <c r="L326" s="407" t="str">
        <f t="shared" ref="L326:L330" si="1260">IF(I326&lt;0,"STOPP!","OK!")</f>
        <v>OK!</v>
      </c>
      <c r="M326" s="407" t="str">
        <f t="shared" ref="M326:M330" si="1261">IF(J326&lt;0,"STOPP!","OK!")</f>
        <v>OK!</v>
      </c>
      <c r="N326" s="407" t="str">
        <f t="shared" ref="N326:N330" si="1262">IF(K326&lt;0,"STOPP!","OK!")</f>
        <v>OK!</v>
      </c>
      <c r="O326" s="407" t="str">
        <f t="shared" ref="O326:O330" si="1263">IF(L326&lt;0,"STOPP!","OK!")</f>
        <v>OK!</v>
      </c>
      <c r="P326" s="407" t="str">
        <f t="shared" ref="P326:P330" si="1264">IF(M326&lt;0,"STOPP!","OK!")</f>
        <v>OK!</v>
      </c>
      <c r="Q326" s="407" t="str">
        <f t="shared" ref="Q326:Q330" si="1265">IF(N326&lt;0,"STOPP!","OK!")</f>
        <v>OK!</v>
      </c>
      <c r="R326" s="407" t="str">
        <f t="shared" ref="R326:R330" si="1266">IF(O326&lt;0,"STOPP!","OK!")</f>
        <v>OK!</v>
      </c>
      <c r="S326" s="407" t="str">
        <f t="shared" ref="S326:S328" si="1267">IF(D326&lt;0,"STOPP!","OK!")</f>
        <v>OK!</v>
      </c>
      <c r="T326" s="407" t="str">
        <f t="shared" ref="T326:T328" si="1268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f>11500+2200+100+3500+1000</f>
        <v>18300</v>
      </c>
      <c r="D327" s="288">
        <f t="shared" ref="D327:E327" si="1269">11500+2200+100+3500+1000</f>
        <v>18300</v>
      </c>
      <c r="E327" s="288">
        <f t="shared" si="1269"/>
        <v>18300</v>
      </c>
      <c r="F327" s="407" t="str">
        <f t="shared" si="1254"/>
        <v>OK!</v>
      </c>
      <c r="G327" s="407" t="str">
        <f t="shared" si="1255"/>
        <v>OK!</v>
      </c>
      <c r="H327" s="407" t="str">
        <f t="shared" si="1256"/>
        <v>OK!</v>
      </c>
      <c r="I327" s="407" t="str">
        <f t="shared" si="1257"/>
        <v>OK!</v>
      </c>
      <c r="J327" s="407" t="str">
        <f t="shared" si="1258"/>
        <v>OK!</v>
      </c>
      <c r="K327" s="407" t="str">
        <f t="shared" si="1259"/>
        <v>OK!</v>
      </c>
      <c r="L327" s="407" t="str">
        <f t="shared" si="1260"/>
        <v>OK!</v>
      </c>
      <c r="M327" s="407" t="str">
        <f t="shared" si="1261"/>
        <v>OK!</v>
      </c>
      <c r="N327" s="407" t="str">
        <f t="shared" si="1262"/>
        <v>OK!</v>
      </c>
      <c r="O327" s="407" t="str">
        <f t="shared" si="1263"/>
        <v>OK!</v>
      </c>
      <c r="P327" s="407" t="str">
        <f t="shared" si="1264"/>
        <v>OK!</v>
      </c>
      <c r="Q327" s="407" t="str">
        <f t="shared" si="1265"/>
        <v>OK!</v>
      </c>
      <c r="R327" s="407" t="str">
        <f t="shared" si="1266"/>
        <v>OK!</v>
      </c>
      <c r="S327" s="407" t="str">
        <f t="shared" si="1267"/>
        <v>OK!</v>
      </c>
      <c r="T327" s="407" t="str">
        <f t="shared" si="1268"/>
        <v>OK!</v>
      </c>
    </row>
    <row r="328" spans="1:20" x14ac:dyDescent="0.15">
      <c r="A328" s="565" t="str">
        <f>A$10</f>
        <v>Shpenzimet kapitale</v>
      </c>
      <c r="B328" s="566"/>
      <c r="C328" s="563">
        <f>C329-C326-C327</f>
        <v>0</v>
      </c>
      <c r="D328" s="561">
        <f>D329-D326-D327</f>
        <v>0</v>
      </c>
      <c r="E328" s="561">
        <f>E329-E326-E327</f>
        <v>0</v>
      </c>
      <c r="F328" s="407" t="str">
        <f t="shared" si="1254"/>
        <v>OK!</v>
      </c>
      <c r="G328" s="407" t="str">
        <f t="shared" si="1255"/>
        <v>OK!</v>
      </c>
      <c r="H328" s="407" t="str">
        <f t="shared" si="1256"/>
        <v>OK!</v>
      </c>
      <c r="I328" s="407" t="str">
        <f t="shared" si="1257"/>
        <v>OK!</v>
      </c>
      <c r="J328" s="407" t="str">
        <f t="shared" si="1258"/>
        <v>OK!</v>
      </c>
      <c r="K328" s="407" t="str">
        <f t="shared" si="1259"/>
        <v>OK!</v>
      </c>
      <c r="L328" s="407" t="str">
        <f t="shared" si="1260"/>
        <v>OK!</v>
      </c>
      <c r="M328" s="407" t="str">
        <f t="shared" si="1261"/>
        <v>OK!</v>
      </c>
      <c r="N328" s="407" t="str">
        <f t="shared" si="1262"/>
        <v>OK!</v>
      </c>
      <c r="O328" s="407" t="str">
        <f t="shared" si="1263"/>
        <v>OK!</v>
      </c>
      <c r="P328" s="407" t="str">
        <f t="shared" si="1264"/>
        <v>OK!</v>
      </c>
      <c r="Q328" s="407" t="str">
        <f t="shared" si="1265"/>
        <v>OK!</v>
      </c>
      <c r="R328" s="407" t="str">
        <f t="shared" si="1266"/>
        <v>OK!</v>
      </c>
      <c r="S328" s="407" t="str">
        <f t="shared" si="1267"/>
        <v>OK!</v>
      </c>
      <c r="T328" s="407" t="str">
        <f t="shared" si="1268"/>
        <v>OK!</v>
      </c>
    </row>
    <row r="329" spans="1:20" x14ac:dyDescent="0.15">
      <c r="A329" s="555" t="str">
        <f>A$11</f>
        <v>Tavanet e përgjithshme</v>
      </c>
      <c r="B329" s="556"/>
      <c r="C329" s="564">
        <v>28076</v>
      </c>
      <c r="D329" s="564">
        <v>28076</v>
      </c>
      <c r="E329" s="564">
        <v>28076</v>
      </c>
      <c r="F329" s="407" t="str">
        <f>IF(C329&lt;0,"STOPP!","OK!")</f>
        <v>OK!</v>
      </c>
      <c r="G329" s="407" t="str">
        <f t="shared" si="1255"/>
        <v>OK!</v>
      </c>
      <c r="H329" s="407" t="str">
        <f t="shared" si="1256"/>
        <v>OK!</v>
      </c>
      <c r="I329" s="407" t="str">
        <f t="shared" si="1257"/>
        <v>OK!</v>
      </c>
      <c r="J329" s="407" t="str">
        <f t="shared" si="1258"/>
        <v>OK!</v>
      </c>
      <c r="K329" s="407" t="str">
        <f t="shared" si="1259"/>
        <v>OK!</v>
      </c>
      <c r="L329" s="407" t="str">
        <f t="shared" si="1260"/>
        <v>OK!</v>
      </c>
      <c r="M329" s="407" t="str">
        <f t="shared" si="1261"/>
        <v>OK!</v>
      </c>
      <c r="N329" s="407" t="str">
        <f t="shared" si="1262"/>
        <v>OK!</v>
      </c>
      <c r="O329" s="407" t="str">
        <f t="shared" si="1263"/>
        <v>OK!</v>
      </c>
      <c r="P329" s="407" t="str">
        <f t="shared" si="1264"/>
        <v>OK!</v>
      </c>
      <c r="Q329" s="407" t="str">
        <f t="shared" si="1265"/>
        <v>OK!</v>
      </c>
      <c r="R329" s="407" t="str">
        <f t="shared" si="1266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7" t="str">
        <f>A$12</f>
        <v>Angazhimet kujtesë</v>
      </c>
      <c r="B330" s="563"/>
      <c r="C330" s="563">
        <f>'(C5) Angazhimet'!D113</f>
        <v>0</v>
      </c>
      <c r="D330" s="563">
        <f>'(C5) Angazhimet'!E113</f>
        <v>0</v>
      </c>
      <c r="E330" s="563">
        <f>'(C5) Angazhimet'!F113</f>
        <v>0</v>
      </c>
      <c r="F330" s="407" t="str">
        <f>IF(C330&gt;C329,"STOPP!","OK!")</f>
        <v>OK!</v>
      </c>
      <c r="G330" s="407" t="str">
        <f t="shared" si="1255"/>
        <v>OK!</v>
      </c>
      <c r="H330" s="407" t="str">
        <f t="shared" si="1256"/>
        <v>OK!</v>
      </c>
      <c r="I330" s="407" t="str">
        <f t="shared" si="1257"/>
        <v>OK!</v>
      </c>
      <c r="J330" s="407" t="str">
        <f t="shared" si="1258"/>
        <v>OK!</v>
      </c>
      <c r="K330" s="407" t="str">
        <f t="shared" si="1259"/>
        <v>OK!</v>
      </c>
      <c r="L330" s="407" t="str">
        <f t="shared" si="1260"/>
        <v>OK!</v>
      </c>
      <c r="M330" s="407" t="str">
        <f t="shared" si="1261"/>
        <v>OK!</v>
      </c>
      <c r="N330" s="407" t="str">
        <f t="shared" si="1262"/>
        <v>OK!</v>
      </c>
      <c r="O330" s="407" t="str">
        <f t="shared" si="1263"/>
        <v>OK!</v>
      </c>
      <c r="P330" s="407" t="str">
        <f t="shared" si="1264"/>
        <v>OK!</v>
      </c>
      <c r="Q330" s="407" t="str">
        <f t="shared" si="1265"/>
        <v>OK!</v>
      </c>
      <c r="R330" s="407" t="str">
        <f t="shared" si="1266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6" t="str">
        <f>'(B2) Struktura Organizative'!A53</f>
        <v>Nënfunksioni 20</v>
      </c>
      <c r="B331" s="894" t="str">
        <f>'(B2) Struktura Organizative'!B53</f>
        <v>082 Shërbimet kulturore</v>
      </c>
      <c r="C331" s="895"/>
      <c r="D331" s="895"/>
      <c r="E331" s="896"/>
      <c r="G331" s="312">
        <f>C335</f>
        <v>26110</v>
      </c>
      <c r="H331" s="312">
        <f t="shared" ref="H331" si="1270">D335</f>
        <v>26110</v>
      </c>
      <c r="I331" s="312">
        <f t="shared" ref="I331" si="1271">E335</f>
        <v>26110</v>
      </c>
      <c r="J331" s="312">
        <f>C332</f>
        <v>16920</v>
      </c>
      <c r="K331" s="312">
        <f t="shared" ref="K331" si="1272">D332</f>
        <v>16920</v>
      </c>
      <c r="L331" s="312">
        <f t="shared" ref="L331" si="1273">E332</f>
        <v>16920</v>
      </c>
      <c r="M331" s="312">
        <f>C333</f>
        <v>6550</v>
      </c>
      <c r="N331" s="312">
        <f t="shared" ref="N331" si="1274">D333</f>
        <v>6550</v>
      </c>
      <c r="O331" s="312">
        <f t="shared" ref="O331" si="1275">E333</f>
        <v>6550</v>
      </c>
      <c r="P331" s="312">
        <f>C334</f>
        <v>2640</v>
      </c>
      <c r="Q331" s="312">
        <f t="shared" ref="Q331" si="1276">D334</f>
        <v>2640</v>
      </c>
      <c r="R331" s="312">
        <f t="shared" ref="R331" si="1277">E334</f>
        <v>2640</v>
      </c>
    </row>
    <row r="332" spans="1:20" x14ac:dyDescent="0.15">
      <c r="A332" s="286" t="str">
        <f>A$8</f>
        <v>Pagat dhe sigurimet shoqërore</v>
      </c>
      <c r="B332" s="286"/>
      <c r="C332" s="563">
        <f>C338+C344+C350</f>
        <v>16920</v>
      </c>
      <c r="D332" s="563">
        <f t="shared" ref="D332:E332" si="1278">D338+D344+D350</f>
        <v>16920</v>
      </c>
      <c r="E332" s="563">
        <f t="shared" si="1278"/>
        <v>16920</v>
      </c>
      <c r="F332" s="407" t="str">
        <f t="shared" ref="F332:F334" si="1279">IF(C332&lt;0,"STOPP!","OK!")</f>
        <v>OK!</v>
      </c>
      <c r="G332" s="407" t="str">
        <f t="shared" ref="G332:G334" si="1280">IF(D332&lt;0,"STOPP!","OK!")</f>
        <v>OK!</v>
      </c>
      <c r="H332" s="407" t="str">
        <f t="shared" ref="H332:H334" si="1281">IF(E332&lt;0,"STOPP!","OK!")</f>
        <v>OK!</v>
      </c>
      <c r="I332" s="407" t="str">
        <f t="shared" ref="I332:I334" si="1282">IF(F332&lt;0,"STOPP!","OK!")</f>
        <v>OK!</v>
      </c>
      <c r="J332" s="407" t="str">
        <f t="shared" ref="J332:J334" si="1283">IF(G332&lt;0,"STOPP!","OK!")</f>
        <v>OK!</v>
      </c>
      <c r="K332" s="407" t="str">
        <f t="shared" ref="K332:K334" si="1284">IF(H332&lt;0,"STOPP!","OK!")</f>
        <v>OK!</v>
      </c>
      <c r="L332" s="407" t="str">
        <f t="shared" ref="L332:L334" si="1285">IF(I332&lt;0,"STOPP!","OK!")</f>
        <v>OK!</v>
      </c>
      <c r="M332" s="407" t="str">
        <f t="shared" ref="M332:M334" si="1286">IF(J332&lt;0,"STOPP!","OK!")</f>
        <v>OK!</v>
      </c>
      <c r="N332" s="407" t="str">
        <f t="shared" ref="N332:N334" si="1287">IF(K332&lt;0,"STOPP!","OK!")</f>
        <v>OK!</v>
      </c>
      <c r="O332" s="407" t="str">
        <f t="shared" ref="O332:O334" si="1288">IF(L332&lt;0,"STOPP!","OK!")</f>
        <v>OK!</v>
      </c>
      <c r="P332" s="407" t="str">
        <f t="shared" ref="P332:P334" si="1289">IF(M332&lt;0,"STOPP!","OK!")</f>
        <v>OK!</v>
      </c>
      <c r="Q332" s="407" t="str">
        <f t="shared" ref="Q332:Q334" si="1290">IF(N332&lt;0,"STOPP!","OK!")</f>
        <v>OK!</v>
      </c>
      <c r="R332" s="407" t="str">
        <f t="shared" ref="R332:R334" si="1291">IF(O332&lt;0,"STOPP!","OK!")</f>
        <v>OK!</v>
      </c>
      <c r="S332" s="407" t="str">
        <f t="shared" ref="S332:S334" si="1292">IF(D332&lt;0,"STOPP!","OK!")</f>
        <v>OK!</v>
      </c>
      <c r="T332" s="407" t="str">
        <f t="shared" ref="T332:T334" si="1293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3">
        <f>C339+C345+C351</f>
        <v>6550</v>
      </c>
      <c r="D333" s="563">
        <f t="shared" ref="D333:E333" si="1294">D339+D345+D351</f>
        <v>6550</v>
      </c>
      <c r="E333" s="563">
        <f t="shared" si="1294"/>
        <v>6550</v>
      </c>
      <c r="F333" s="407" t="str">
        <f t="shared" si="1279"/>
        <v>OK!</v>
      </c>
      <c r="G333" s="407" t="str">
        <f t="shared" si="1280"/>
        <v>OK!</v>
      </c>
      <c r="H333" s="407" t="str">
        <f t="shared" si="1281"/>
        <v>OK!</v>
      </c>
      <c r="I333" s="407" t="str">
        <f t="shared" si="1282"/>
        <v>OK!</v>
      </c>
      <c r="J333" s="407" t="str">
        <f t="shared" si="1283"/>
        <v>OK!</v>
      </c>
      <c r="K333" s="407" t="str">
        <f t="shared" si="1284"/>
        <v>OK!</v>
      </c>
      <c r="L333" s="407" t="str">
        <f t="shared" si="1285"/>
        <v>OK!</v>
      </c>
      <c r="M333" s="407" t="str">
        <f t="shared" si="1286"/>
        <v>OK!</v>
      </c>
      <c r="N333" s="407" t="str">
        <f t="shared" si="1287"/>
        <v>OK!</v>
      </c>
      <c r="O333" s="407" t="str">
        <f t="shared" si="1288"/>
        <v>OK!</v>
      </c>
      <c r="P333" s="407" t="str">
        <f t="shared" si="1289"/>
        <v>OK!</v>
      </c>
      <c r="Q333" s="407" t="str">
        <f t="shared" si="1290"/>
        <v>OK!</v>
      </c>
      <c r="R333" s="407" t="str">
        <f t="shared" si="1291"/>
        <v>OK!</v>
      </c>
      <c r="S333" s="407" t="str">
        <f t="shared" si="1292"/>
        <v>OK!</v>
      </c>
      <c r="T333" s="407" t="str">
        <f t="shared" si="1293"/>
        <v>OK!</v>
      </c>
    </row>
    <row r="334" spans="1:20" x14ac:dyDescent="0.15">
      <c r="A334" s="565" t="str">
        <f>A$10</f>
        <v>Shpenzimet kapitale</v>
      </c>
      <c r="B334" s="566"/>
      <c r="C334" s="563">
        <f>C335-C332-C333</f>
        <v>2640</v>
      </c>
      <c r="D334" s="561">
        <f>D335-D332-D333</f>
        <v>2640</v>
      </c>
      <c r="E334" s="561">
        <f>E335-E332-E333</f>
        <v>2640</v>
      </c>
      <c r="F334" s="407" t="str">
        <f t="shared" si="1279"/>
        <v>OK!</v>
      </c>
      <c r="G334" s="407" t="str">
        <f t="shared" si="1280"/>
        <v>OK!</v>
      </c>
      <c r="H334" s="407" t="str">
        <f t="shared" si="1281"/>
        <v>OK!</v>
      </c>
      <c r="I334" s="407" t="str">
        <f t="shared" si="1282"/>
        <v>OK!</v>
      </c>
      <c r="J334" s="407" t="str">
        <f t="shared" si="1283"/>
        <v>OK!</v>
      </c>
      <c r="K334" s="407" t="str">
        <f t="shared" si="1284"/>
        <v>OK!</v>
      </c>
      <c r="L334" s="407" t="str">
        <f t="shared" si="1285"/>
        <v>OK!</v>
      </c>
      <c r="M334" s="407" t="str">
        <f t="shared" si="1286"/>
        <v>OK!</v>
      </c>
      <c r="N334" s="407" t="str">
        <f t="shared" si="1287"/>
        <v>OK!</v>
      </c>
      <c r="O334" s="407" t="str">
        <f t="shared" si="1288"/>
        <v>OK!</v>
      </c>
      <c r="P334" s="407" t="str">
        <f t="shared" si="1289"/>
        <v>OK!</v>
      </c>
      <c r="Q334" s="407" t="str">
        <f t="shared" si="1290"/>
        <v>OK!</v>
      </c>
      <c r="R334" s="407" t="str">
        <f t="shared" si="1291"/>
        <v>OK!</v>
      </c>
      <c r="S334" s="407" t="str">
        <f t="shared" si="1292"/>
        <v>OK!</v>
      </c>
      <c r="T334" s="407" t="str">
        <f t="shared" si="1293"/>
        <v>OK!</v>
      </c>
    </row>
    <row r="335" spans="1:20" x14ac:dyDescent="0.15">
      <c r="A335" s="555" t="str">
        <f>A$11</f>
        <v>Tavanet e përgjithshme</v>
      </c>
      <c r="B335" s="556"/>
      <c r="C335" s="563">
        <f>C341+C347+C353</f>
        <v>26110</v>
      </c>
      <c r="D335" s="563">
        <f t="shared" ref="D335:E335" si="1295">D341+D347+D353</f>
        <v>26110</v>
      </c>
      <c r="E335" s="563">
        <f t="shared" si="1295"/>
        <v>26110</v>
      </c>
      <c r="F335" s="407" t="str">
        <f>IF(C335&lt;0,"STOPP!","OK!")</f>
        <v>OK!</v>
      </c>
      <c r="G335" s="407" t="str">
        <f t="shared" ref="G335:G336" si="1296">IF(D335&lt;0,"STOPP!","OK!")</f>
        <v>OK!</v>
      </c>
      <c r="H335" s="407" t="str">
        <f t="shared" ref="H335:H336" si="1297">IF(E335&lt;0,"STOPP!","OK!")</f>
        <v>OK!</v>
      </c>
      <c r="I335" s="407" t="str">
        <f t="shared" ref="I335:I336" si="1298">IF(F335&lt;0,"STOPP!","OK!")</f>
        <v>OK!</v>
      </c>
      <c r="J335" s="407" t="str">
        <f t="shared" ref="J335:J336" si="1299">IF(G335&lt;0,"STOPP!","OK!")</f>
        <v>OK!</v>
      </c>
      <c r="K335" s="407" t="str">
        <f t="shared" ref="K335:K336" si="1300">IF(H335&lt;0,"STOPP!","OK!")</f>
        <v>OK!</v>
      </c>
      <c r="L335" s="407" t="str">
        <f t="shared" ref="L335:L336" si="1301">IF(I335&lt;0,"STOPP!","OK!")</f>
        <v>OK!</v>
      </c>
      <c r="M335" s="407" t="str">
        <f t="shared" ref="M335:M336" si="1302">IF(J335&lt;0,"STOPP!","OK!")</f>
        <v>OK!</v>
      </c>
      <c r="N335" s="407" t="str">
        <f t="shared" ref="N335:N336" si="1303">IF(K335&lt;0,"STOPP!","OK!")</f>
        <v>OK!</v>
      </c>
      <c r="O335" s="407" t="str">
        <f t="shared" ref="O335:O336" si="1304">IF(L335&lt;0,"STOPP!","OK!")</f>
        <v>OK!</v>
      </c>
      <c r="P335" s="407" t="str">
        <f t="shared" ref="P335:P336" si="1305">IF(M335&lt;0,"STOPP!","OK!")</f>
        <v>OK!</v>
      </c>
      <c r="Q335" s="407" t="str">
        <f t="shared" ref="Q335:Q336" si="1306">IF(N335&lt;0,"STOPP!","OK!")</f>
        <v>OK!</v>
      </c>
      <c r="R335" s="407" t="str">
        <f t="shared" ref="R335:R336" si="1307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7" t="str">
        <f>A$12</f>
        <v>Angazhimet kujtesë</v>
      </c>
      <c r="B336" s="563"/>
      <c r="C336" s="563">
        <f>'(C5) Angazhimet'!D121</f>
        <v>0</v>
      </c>
      <c r="D336" s="561">
        <f>'(C5) Angazhimet'!E121</f>
        <v>0</v>
      </c>
      <c r="E336" s="561">
        <f>'(C5) Angazhimet'!F121</f>
        <v>0</v>
      </c>
      <c r="F336" s="407" t="str">
        <f>IF(C336&gt;C335,"STOPP!","OK!")</f>
        <v>OK!</v>
      </c>
      <c r="G336" s="407" t="str">
        <f t="shared" si="1296"/>
        <v>OK!</v>
      </c>
      <c r="H336" s="407" t="str">
        <f t="shared" si="1297"/>
        <v>OK!</v>
      </c>
      <c r="I336" s="407" t="str">
        <f t="shared" si="1298"/>
        <v>OK!</v>
      </c>
      <c r="J336" s="407" t="str">
        <f t="shared" si="1299"/>
        <v>OK!</v>
      </c>
      <c r="K336" s="407" t="str">
        <f t="shared" si="1300"/>
        <v>OK!</v>
      </c>
      <c r="L336" s="407" t="str">
        <f t="shared" si="1301"/>
        <v>OK!</v>
      </c>
      <c r="M336" s="407" t="str">
        <f t="shared" si="1302"/>
        <v>OK!</v>
      </c>
      <c r="N336" s="407" t="str">
        <f t="shared" si="1303"/>
        <v>OK!</v>
      </c>
      <c r="O336" s="407" t="str">
        <f t="shared" si="1304"/>
        <v>OK!</v>
      </c>
      <c r="P336" s="407" t="str">
        <f t="shared" si="1305"/>
        <v>OK!</v>
      </c>
      <c r="Q336" s="407" t="str">
        <f t="shared" si="1306"/>
        <v>OK!</v>
      </c>
      <c r="R336" s="407" t="str">
        <f t="shared" si="1307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7" t="str">
        <f>'(B3) Struktura Funksionale'!B103</f>
        <v>08220</v>
      </c>
      <c r="B337" s="891" t="str">
        <f>'(B3) Struktura Funksionale'!C103</f>
        <v>Trashëgimia kulturore, eventet artistike dhe kulturore</v>
      </c>
      <c r="C337" s="892"/>
      <c r="D337" s="892"/>
      <c r="E337" s="893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>
        <f>10000+2000+4498+422</f>
        <v>16920</v>
      </c>
      <c r="D338" s="287">
        <f t="shared" ref="D338:E338" si="1308">10000+2000+4498+422</f>
        <v>16920</v>
      </c>
      <c r="E338" s="287">
        <f t="shared" si="1308"/>
        <v>16920</v>
      </c>
      <c r="F338" s="407" t="str">
        <f t="shared" ref="F338:F340" si="1309">IF(C338&lt;0,"STOPP!","OK!")</f>
        <v>OK!</v>
      </c>
      <c r="G338" s="407" t="str">
        <f t="shared" ref="G338:G342" si="1310">IF(D338&lt;0,"STOPP!","OK!")</f>
        <v>OK!</v>
      </c>
      <c r="H338" s="407" t="str">
        <f t="shared" ref="H338:H342" si="1311">IF(E338&lt;0,"STOPP!","OK!")</f>
        <v>OK!</v>
      </c>
      <c r="I338" s="407" t="str">
        <f t="shared" ref="I338:I342" si="1312">IF(F338&lt;0,"STOPP!","OK!")</f>
        <v>OK!</v>
      </c>
      <c r="J338" s="407" t="str">
        <f t="shared" ref="J338:J342" si="1313">IF(G338&lt;0,"STOPP!","OK!")</f>
        <v>OK!</v>
      </c>
      <c r="K338" s="407" t="str">
        <f t="shared" ref="K338:K342" si="1314">IF(H338&lt;0,"STOPP!","OK!")</f>
        <v>OK!</v>
      </c>
      <c r="L338" s="407" t="str">
        <f t="shared" ref="L338:L342" si="1315">IF(I338&lt;0,"STOPP!","OK!")</f>
        <v>OK!</v>
      </c>
      <c r="M338" s="407" t="str">
        <f t="shared" ref="M338:M342" si="1316">IF(J338&lt;0,"STOPP!","OK!")</f>
        <v>OK!</v>
      </c>
      <c r="N338" s="407" t="str">
        <f t="shared" ref="N338:N342" si="1317">IF(K338&lt;0,"STOPP!","OK!")</f>
        <v>OK!</v>
      </c>
      <c r="O338" s="407" t="str">
        <f t="shared" ref="O338:O342" si="1318">IF(L338&lt;0,"STOPP!","OK!")</f>
        <v>OK!</v>
      </c>
      <c r="P338" s="407" t="str">
        <f t="shared" ref="P338:P342" si="1319">IF(M338&lt;0,"STOPP!","OK!")</f>
        <v>OK!</v>
      </c>
      <c r="Q338" s="407" t="str">
        <f t="shared" ref="Q338:Q342" si="1320">IF(N338&lt;0,"STOPP!","OK!")</f>
        <v>OK!</v>
      </c>
      <c r="R338" s="407" t="str">
        <f t="shared" ref="R338:R342" si="1321">IF(O338&lt;0,"STOPP!","OK!")</f>
        <v>OK!</v>
      </c>
      <c r="S338" s="407" t="str">
        <f t="shared" ref="S338:S340" si="1322">IF(D338&lt;0,"STOPP!","OK!")</f>
        <v>OK!</v>
      </c>
      <c r="T338" s="407" t="str">
        <f t="shared" ref="T338:T340" si="1323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>
        <f>3500+3000+50</f>
        <v>6550</v>
      </c>
      <c r="D339" s="288">
        <f t="shared" ref="D339:E339" si="1324">3500+3000+50</f>
        <v>6550</v>
      </c>
      <c r="E339" s="288">
        <f t="shared" si="1324"/>
        <v>6550</v>
      </c>
      <c r="F339" s="407" t="str">
        <f t="shared" si="1309"/>
        <v>OK!</v>
      </c>
      <c r="G339" s="407" t="str">
        <f t="shared" si="1310"/>
        <v>OK!</v>
      </c>
      <c r="H339" s="407" t="str">
        <f t="shared" si="1311"/>
        <v>OK!</v>
      </c>
      <c r="I339" s="407" t="str">
        <f t="shared" si="1312"/>
        <v>OK!</v>
      </c>
      <c r="J339" s="407" t="str">
        <f t="shared" si="1313"/>
        <v>OK!</v>
      </c>
      <c r="K339" s="407" t="str">
        <f t="shared" si="1314"/>
        <v>OK!</v>
      </c>
      <c r="L339" s="407" t="str">
        <f t="shared" si="1315"/>
        <v>OK!</v>
      </c>
      <c r="M339" s="407" t="str">
        <f t="shared" si="1316"/>
        <v>OK!</v>
      </c>
      <c r="N339" s="407" t="str">
        <f t="shared" si="1317"/>
        <v>OK!</v>
      </c>
      <c r="O339" s="407" t="str">
        <f t="shared" si="1318"/>
        <v>OK!</v>
      </c>
      <c r="P339" s="407" t="str">
        <f t="shared" si="1319"/>
        <v>OK!</v>
      </c>
      <c r="Q339" s="407" t="str">
        <f t="shared" si="1320"/>
        <v>OK!</v>
      </c>
      <c r="R339" s="407" t="str">
        <f t="shared" si="1321"/>
        <v>OK!</v>
      </c>
      <c r="S339" s="407" t="str">
        <f t="shared" si="1322"/>
        <v>OK!</v>
      </c>
      <c r="T339" s="407" t="str">
        <f t="shared" si="1323"/>
        <v>OK!</v>
      </c>
    </row>
    <row r="340" spans="1:20" x14ac:dyDescent="0.15">
      <c r="A340" s="565" t="str">
        <f>A$10</f>
        <v>Shpenzimet kapitale</v>
      </c>
      <c r="B340" s="566"/>
      <c r="C340" s="563">
        <f>C341-C338-C339</f>
        <v>2640</v>
      </c>
      <c r="D340" s="561">
        <f>D341-D338-D339</f>
        <v>2640</v>
      </c>
      <c r="E340" s="561">
        <f>E341-E338-E339</f>
        <v>2640</v>
      </c>
      <c r="F340" s="407" t="str">
        <f t="shared" si="1309"/>
        <v>OK!</v>
      </c>
      <c r="G340" s="407" t="str">
        <f t="shared" si="1310"/>
        <v>OK!</v>
      </c>
      <c r="H340" s="407" t="str">
        <f t="shared" si="1311"/>
        <v>OK!</v>
      </c>
      <c r="I340" s="407" t="str">
        <f t="shared" si="1312"/>
        <v>OK!</v>
      </c>
      <c r="J340" s="407" t="str">
        <f t="shared" si="1313"/>
        <v>OK!</v>
      </c>
      <c r="K340" s="407" t="str">
        <f t="shared" si="1314"/>
        <v>OK!</v>
      </c>
      <c r="L340" s="407" t="str">
        <f t="shared" si="1315"/>
        <v>OK!</v>
      </c>
      <c r="M340" s="407" t="str">
        <f t="shared" si="1316"/>
        <v>OK!</v>
      </c>
      <c r="N340" s="407" t="str">
        <f t="shared" si="1317"/>
        <v>OK!</v>
      </c>
      <c r="O340" s="407" t="str">
        <f t="shared" si="1318"/>
        <v>OK!</v>
      </c>
      <c r="P340" s="407" t="str">
        <f t="shared" si="1319"/>
        <v>OK!</v>
      </c>
      <c r="Q340" s="407" t="str">
        <f t="shared" si="1320"/>
        <v>OK!</v>
      </c>
      <c r="R340" s="407" t="str">
        <f t="shared" si="1321"/>
        <v>OK!</v>
      </c>
      <c r="S340" s="407" t="str">
        <f t="shared" si="1322"/>
        <v>OK!</v>
      </c>
      <c r="T340" s="407" t="str">
        <f t="shared" si="1323"/>
        <v>OK!</v>
      </c>
    </row>
    <row r="341" spans="1:20" x14ac:dyDescent="0.15">
      <c r="A341" s="555" t="str">
        <f>A$11</f>
        <v>Tavanet e përgjithshme</v>
      </c>
      <c r="B341" s="556"/>
      <c r="C341" s="564">
        <f>23470+2140+500</f>
        <v>26110</v>
      </c>
      <c r="D341" s="564">
        <f t="shared" ref="D341:E341" si="1325">23470+2140+500</f>
        <v>26110</v>
      </c>
      <c r="E341" s="564">
        <f t="shared" si="1325"/>
        <v>26110</v>
      </c>
      <c r="F341" s="407" t="str">
        <f>IF(C341&lt;0,"STOPP!","OK!")</f>
        <v>OK!</v>
      </c>
      <c r="G341" s="407" t="str">
        <f t="shared" si="1310"/>
        <v>OK!</v>
      </c>
      <c r="H341" s="407" t="str">
        <f t="shared" si="1311"/>
        <v>OK!</v>
      </c>
      <c r="I341" s="407" t="str">
        <f t="shared" si="1312"/>
        <v>OK!</v>
      </c>
      <c r="J341" s="407" t="str">
        <f t="shared" si="1313"/>
        <v>OK!</v>
      </c>
      <c r="K341" s="407" t="str">
        <f t="shared" si="1314"/>
        <v>OK!</v>
      </c>
      <c r="L341" s="407" t="str">
        <f t="shared" si="1315"/>
        <v>OK!</v>
      </c>
      <c r="M341" s="407" t="str">
        <f t="shared" si="1316"/>
        <v>OK!</v>
      </c>
      <c r="N341" s="407" t="str">
        <f t="shared" si="1317"/>
        <v>OK!</v>
      </c>
      <c r="O341" s="407" t="str">
        <f t="shared" si="1318"/>
        <v>OK!</v>
      </c>
      <c r="P341" s="407" t="str">
        <f t="shared" si="1319"/>
        <v>OK!</v>
      </c>
      <c r="Q341" s="407" t="str">
        <f t="shared" si="1320"/>
        <v>OK!</v>
      </c>
      <c r="R341" s="407" t="str">
        <f t="shared" si="1321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7" t="str">
        <f>A$12</f>
        <v>Angazhimet kujtesë</v>
      </c>
      <c r="B342" s="563"/>
      <c r="C342" s="563">
        <f>'(C5) Angazhimet'!D117</f>
        <v>0</v>
      </c>
      <c r="D342" s="563">
        <f>'(C5) Angazhimet'!E117</f>
        <v>0</v>
      </c>
      <c r="E342" s="563">
        <f>'(C5) Angazhimet'!F117</f>
        <v>0</v>
      </c>
      <c r="F342" s="407" t="str">
        <f>IF(C342&gt;C341,"STOPP!","OK!")</f>
        <v>OK!</v>
      </c>
      <c r="G342" s="407" t="str">
        <f t="shared" si="1310"/>
        <v>OK!</v>
      </c>
      <c r="H342" s="407" t="str">
        <f t="shared" si="1311"/>
        <v>OK!</v>
      </c>
      <c r="I342" s="407" t="str">
        <f t="shared" si="1312"/>
        <v>OK!</v>
      </c>
      <c r="J342" s="407" t="str">
        <f t="shared" si="1313"/>
        <v>OK!</v>
      </c>
      <c r="K342" s="407" t="str">
        <f t="shared" si="1314"/>
        <v>OK!</v>
      </c>
      <c r="L342" s="407" t="str">
        <f t="shared" si="1315"/>
        <v>OK!</v>
      </c>
      <c r="M342" s="407" t="str">
        <f t="shared" si="1316"/>
        <v>OK!</v>
      </c>
      <c r="N342" s="407" t="str">
        <f t="shared" si="1317"/>
        <v>OK!</v>
      </c>
      <c r="O342" s="407" t="str">
        <f t="shared" si="1318"/>
        <v>OK!</v>
      </c>
      <c r="P342" s="407" t="str">
        <f t="shared" si="1319"/>
        <v>OK!</v>
      </c>
      <c r="Q342" s="407" t="str">
        <f t="shared" si="1320"/>
        <v>OK!</v>
      </c>
      <c r="R342" s="407" t="str">
        <f t="shared" si="1321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7" t="str">
        <f>'(B3) Struktura Funksionale'!B104</f>
        <v>08230</v>
      </c>
      <c r="B343" s="891" t="str">
        <f>'(B3) Struktura Funksionale'!C104</f>
        <v>Arti dhe kultura</v>
      </c>
      <c r="C343" s="892"/>
      <c r="D343" s="892"/>
      <c r="E343" s="893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26">IF(C344&lt;0,"STOPP!","OK!")</f>
        <v>OK!</v>
      </c>
      <c r="G344" s="407" t="str">
        <f t="shared" ref="G344:G348" si="1327">IF(D344&lt;0,"STOPP!","OK!")</f>
        <v>OK!</v>
      </c>
      <c r="H344" s="407" t="str">
        <f t="shared" ref="H344:H348" si="1328">IF(E344&lt;0,"STOPP!","OK!")</f>
        <v>OK!</v>
      </c>
      <c r="I344" s="407" t="str">
        <f t="shared" ref="I344:I348" si="1329">IF(F344&lt;0,"STOPP!","OK!")</f>
        <v>OK!</v>
      </c>
      <c r="J344" s="407" t="str">
        <f t="shared" ref="J344:J348" si="1330">IF(G344&lt;0,"STOPP!","OK!")</f>
        <v>OK!</v>
      </c>
      <c r="K344" s="407" t="str">
        <f t="shared" ref="K344:K348" si="1331">IF(H344&lt;0,"STOPP!","OK!")</f>
        <v>OK!</v>
      </c>
      <c r="L344" s="407" t="str">
        <f t="shared" ref="L344:L348" si="1332">IF(I344&lt;0,"STOPP!","OK!")</f>
        <v>OK!</v>
      </c>
      <c r="M344" s="407" t="str">
        <f t="shared" ref="M344:M348" si="1333">IF(J344&lt;0,"STOPP!","OK!")</f>
        <v>OK!</v>
      </c>
      <c r="N344" s="407" t="str">
        <f t="shared" ref="N344:N348" si="1334">IF(K344&lt;0,"STOPP!","OK!")</f>
        <v>OK!</v>
      </c>
      <c r="O344" s="407" t="str">
        <f t="shared" ref="O344:O348" si="1335">IF(L344&lt;0,"STOPP!","OK!")</f>
        <v>OK!</v>
      </c>
      <c r="P344" s="407" t="str">
        <f t="shared" ref="P344:P348" si="1336">IF(M344&lt;0,"STOPP!","OK!")</f>
        <v>OK!</v>
      </c>
      <c r="Q344" s="407" t="str">
        <f t="shared" ref="Q344:Q348" si="1337">IF(N344&lt;0,"STOPP!","OK!")</f>
        <v>OK!</v>
      </c>
      <c r="R344" s="407" t="str">
        <f t="shared" ref="R344:R348" si="1338">IF(O344&lt;0,"STOPP!","OK!")</f>
        <v>OK!</v>
      </c>
      <c r="S344" s="407" t="str">
        <f t="shared" ref="S344:S346" si="1339">IF(D344&lt;0,"STOPP!","OK!")</f>
        <v>OK!</v>
      </c>
      <c r="T344" s="407" t="str">
        <f t="shared" ref="T344:T346" si="1340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26"/>
        <v>OK!</v>
      </c>
      <c r="G345" s="407" t="str">
        <f t="shared" si="1327"/>
        <v>OK!</v>
      </c>
      <c r="H345" s="407" t="str">
        <f t="shared" si="1328"/>
        <v>OK!</v>
      </c>
      <c r="I345" s="407" t="str">
        <f t="shared" si="1329"/>
        <v>OK!</v>
      </c>
      <c r="J345" s="407" t="str">
        <f t="shared" si="1330"/>
        <v>OK!</v>
      </c>
      <c r="K345" s="407" t="str">
        <f t="shared" si="1331"/>
        <v>OK!</v>
      </c>
      <c r="L345" s="407" t="str">
        <f t="shared" si="1332"/>
        <v>OK!</v>
      </c>
      <c r="M345" s="407" t="str">
        <f t="shared" si="1333"/>
        <v>OK!</v>
      </c>
      <c r="N345" s="407" t="str">
        <f t="shared" si="1334"/>
        <v>OK!</v>
      </c>
      <c r="O345" s="407" t="str">
        <f t="shared" si="1335"/>
        <v>OK!</v>
      </c>
      <c r="P345" s="407" t="str">
        <f t="shared" si="1336"/>
        <v>OK!</v>
      </c>
      <c r="Q345" s="407" t="str">
        <f t="shared" si="1337"/>
        <v>OK!</v>
      </c>
      <c r="R345" s="407" t="str">
        <f t="shared" si="1338"/>
        <v>OK!</v>
      </c>
      <c r="S345" s="407" t="str">
        <f t="shared" si="1339"/>
        <v>OK!</v>
      </c>
      <c r="T345" s="407" t="str">
        <f t="shared" si="1340"/>
        <v>OK!</v>
      </c>
    </row>
    <row r="346" spans="1:20" hidden="1" x14ac:dyDescent="0.15">
      <c r="A346" s="565" t="str">
        <f>A$10</f>
        <v>Shpenzimet kapitale</v>
      </c>
      <c r="B346" s="566"/>
      <c r="C346" s="563">
        <f>C347-C344-C345</f>
        <v>0</v>
      </c>
      <c r="D346" s="561">
        <f>D347-D344-D345</f>
        <v>0</v>
      </c>
      <c r="E346" s="561">
        <f>E347-E344-E345</f>
        <v>0</v>
      </c>
      <c r="F346" s="407" t="str">
        <f t="shared" si="1326"/>
        <v>OK!</v>
      </c>
      <c r="G346" s="407" t="str">
        <f t="shared" si="1327"/>
        <v>OK!</v>
      </c>
      <c r="H346" s="407" t="str">
        <f t="shared" si="1328"/>
        <v>OK!</v>
      </c>
      <c r="I346" s="407" t="str">
        <f t="shared" si="1329"/>
        <v>OK!</v>
      </c>
      <c r="J346" s="407" t="str">
        <f t="shared" si="1330"/>
        <v>OK!</v>
      </c>
      <c r="K346" s="407" t="str">
        <f t="shared" si="1331"/>
        <v>OK!</v>
      </c>
      <c r="L346" s="407" t="str">
        <f t="shared" si="1332"/>
        <v>OK!</v>
      </c>
      <c r="M346" s="407" t="str">
        <f t="shared" si="1333"/>
        <v>OK!</v>
      </c>
      <c r="N346" s="407" t="str">
        <f t="shared" si="1334"/>
        <v>OK!</v>
      </c>
      <c r="O346" s="407" t="str">
        <f t="shared" si="1335"/>
        <v>OK!</v>
      </c>
      <c r="P346" s="407" t="str">
        <f t="shared" si="1336"/>
        <v>OK!</v>
      </c>
      <c r="Q346" s="407" t="str">
        <f t="shared" si="1337"/>
        <v>OK!</v>
      </c>
      <c r="R346" s="407" t="str">
        <f t="shared" si="1338"/>
        <v>OK!</v>
      </c>
      <c r="S346" s="407" t="str">
        <f t="shared" si="1339"/>
        <v>OK!</v>
      </c>
      <c r="T346" s="407" t="str">
        <f t="shared" si="1340"/>
        <v>OK!</v>
      </c>
    </row>
    <row r="347" spans="1:20" hidden="1" x14ac:dyDescent="0.15">
      <c r="A347" s="555" t="str">
        <f>A$11</f>
        <v>Tavanet e përgjithshme</v>
      </c>
      <c r="B347" s="556"/>
      <c r="C347" s="564"/>
      <c r="D347" s="562"/>
      <c r="E347" s="562"/>
      <c r="F347" s="407" t="str">
        <f>IF(C347&lt;0,"STOPP!","OK!")</f>
        <v>OK!</v>
      </c>
      <c r="G347" s="407" t="str">
        <f t="shared" si="1327"/>
        <v>OK!</v>
      </c>
      <c r="H347" s="407" t="str">
        <f t="shared" si="1328"/>
        <v>OK!</v>
      </c>
      <c r="I347" s="407" t="str">
        <f t="shared" si="1329"/>
        <v>OK!</v>
      </c>
      <c r="J347" s="407" t="str">
        <f t="shared" si="1330"/>
        <v>OK!</v>
      </c>
      <c r="K347" s="407" t="str">
        <f t="shared" si="1331"/>
        <v>OK!</v>
      </c>
      <c r="L347" s="407" t="str">
        <f t="shared" si="1332"/>
        <v>OK!</v>
      </c>
      <c r="M347" s="407" t="str">
        <f t="shared" si="1333"/>
        <v>OK!</v>
      </c>
      <c r="N347" s="407" t="str">
        <f t="shared" si="1334"/>
        <v>OK!</v>
      </c>
      <c r="O347" s="407" t="str">
        <f t="shared" si="1335"/>
        <v>OK!</v>
      </c>
      <c r="P347" s="407" t="str">
        <f t="shared" si="1336"/>
        <v>OK!</v>
      </c>
      <c r="Q347" s="407" t="str">
        <f t="shared" si="1337"/>
        <v>OK!</v>
      </c>
      <c r="R347" s="407" t="str">
        <f t="shared" si="1338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7" t="str">
        <f>A$12</f>
        <v>Angazhimet kujtesë</v>
      </c>
      <c r="B348" s="563"/>
      <c r="C348" s="563">
        <f>'(C5) Angazhimet'!D118</f>
        <v>0</v>
      </c>
      <c r="D348" s="563">
        <f>'(C5) Angazhimet'!E118</f>
        <v>0</v>
      </c>
      <c r="E348" s="563">
        <f>'(C5) Angazhimet'!F118</f>
        <v>0</v>
      </c>
      <c r="F348" s="407" t="str">
        <f>IF(C348&gt;C347,"STOPP!","OK!")</f>
        <v>OK!</v>
      </c>
      <c r="G348" s="407" t="str">
        <f t="shared" si="1327"/>
        <v>OK!</v>
      </c>
      <c r="H348" s="407" t="str">
        <f t="shared" si="1328"/>
        <v>OK!</v>
      </c>
      <c r="I348" s="407" t="str">
        <f t="shared" si="1329"/>
        <v>OK!</v>
      </c>
      <c r="J348" s="407" t="str">
        <f t="shared" si="1330"/>
        <v>OK!</v>
      </c>
      <c r="K348" s="407" t="str">
        <f t="shared" si="1331"/>
        <v>OK!</v>
      </c>
      <c r="L348" s="407" t="str">
        <f t="shared" si="1332"/>
        <v>OK!</v>
      </c>
      <c r="M348" s="407" t="str">
        <f t="shared" si="1333"/>
        <v>OK!</v>
      </c>
      <c r="N348" s="407" t="str">
        <f t="shared" si="1334"/>
        <v>OK!</v>
      </c>
      <c r="O348" s="407" t="str">
        <f t="shared" si="1335"/>
        <v>OK!</v>
      </c>
      <c r="P348" s="407" t="str">
        <f t="shared" si="1336"/>
        <v>OK!</v>
      </c>
      <c r="Q348" s="407" t="str">
        <f t="shared" si="1337"/>
        <v>OK!</v>
      </c>
      <c r="R348" s="407" t="str">
        <f t="shared" si="1338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7" t="str">
        <f>'(B3) Struktura Funksionale'!B105</f>
        <v>08280</v>
      </c>
      <c r="B349" s="891" t="str">
        <f>'(B3) Struktura Funksionale'!C105</f>
        <v xml:space="preserve">Muzetë, teatrot dhe eventet kulturore </v>
      </c>
      <c r="C349" s="892"/>
      <c r="D349" s="892"/>
      <c r="E349" s="893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41">IF(C350&lt;0,"STOPP!","OK!")</f>
        <v>OK!</v>
      </c>
      <c r="G350" s="407" t="str">
        <f t="shared" ref="G350:G354" si="1342">IF(D350&lt;0,"STOPP!","OK!")</f>
        <v>OK!</v>
      </c>
      <c r="H350" s="407" t="str">
        <f t="shared" ref="H350:H354" si="1343">IF(E350&lt;0,"STOPP!","OK!")</f>
        <v>OK!</v>
      </c>
      <c r="I350" s="407" t="str">
        <f t="shared" ref="I350:I354" si="1344">IF(F350&lt;0,"STOPP!","OK!")</f>
        <v>OK!</v>
      </c>
      <c r="J350" s="407" t="str">
        <f t="shared" ref="J350:J354" si="1345">IF(G350&lt;0,"STOPP!","OK!")</f>
        <v>OK!</v>
      </c>
      <c r="K350" s="407" t="str">
        <f t="shared" ref="K350:K354" si="1346">IF(H350&lt;0,"STOPP!","OK!")</f>
        <v>OK!</v>
      </c>
      <c r="L350" s="407" t="str">
        <f t="shared" ref="L350:L354" si="1347">IF(I350&lt;0,"STOPP!","OK!")</f>
        <v>OK!</v>
      </c>
      <c r="M350" s="407" t="str">
        <f t="shared" ref="M350:M354" si="1348">IF(J350&lt;0,"STOPP!","OK!")</f>
        <v>OK!</v>
      </c>
      <c r="N350" s="407" t="str">
        <f t="shared" ref="N350:N354" si="1349">IF(K350&lt;0,"STOPP!","OK!")</f>
        <v>OK!</v>
      </c>
      <c r="O350" s="407" t="str">
        <f t="shared" ref="O350:O354" si="1350">IF(L350&lt;0,"STOPP!","OK!")</f>
        <v>OK!</v>
      </c>
      <c r="P350" s="407" t="str">
        <f t="shared" ref="P350:P354" si="1351">IF(M350&lt;0,"STOPP!","OK!")</f>
        <v>OK!</v>
      </c>
      <c r="Q350" s="407" t="str">
        <f t="shared" ref="Q350:Q354" si="1352">IF(N350&lt;0,"STOPP!","OK!")</f>
        <v>OK!</v>
      </c>
      <c r="R350" s="407" t="str">
        <f t="shared" ref="R350:R354" si="1353">IF(O350&lt;0,"STOPP!","OK!")</f>
        <v>OK!</v>
      </c>
      <c r="S350" s="407" t="str">
        <f t="shared" ref="S350:S352" si="1354">IF(D350&lt;0,"STOPP!","OK!")</f>
        <v>OK!</v>
      </c>
      <c r="T350" s="407" t="str">
        <f t="shared" ref="T350:T352" si="1355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41"/>
        <v>OK!</v>
      </c>
      <c r="G351" s="407" t="str">
        <f t="shared" si="1342"/>
        <v>OK!</v>
      </c>
      <c r="H351" s="407" t="str">
        <f t="shared" si="1343"/>
        <v>OK!</v>
      </c>
      <c r="I351" s="407" t="str">
        <f t="shared" si="1344"/>
        <v>OK!</v>
      </c>
      <c r="J351" s="407" t="str">
        <f t="shared" si="1345"/>
        <v>OK!</v>
      </c>
      <c r="K351" s="407" t="str">
        <f t="shared" si="1346"/>
        <v>OK!</v>
      </c>
      <c r="L351" s="407" t="str">
        <f t="shared" si="1347"/>
        <v>OK!</v>
      </c>
      <c r="M351" s="407" t="str">
        <f t="shared" si="1348"/>
        <v>OK!</v>
      </c>
      <c r="N351" s="407" t="str">
        <f t="shared" si="1349"/>
        <v>OK!</v>
      </c>
      <c r="O351" s="407" t="str">
        <f t="shared" si="1350"/>
        <v>OK!</v>
      </c>
      <c r="P351" s="407" t="str">
        <f t="shared" si="1351"/>
        <v>OK!</v>
      </c>
      <c r="Q351" s="407" t="str">
        <f t="shared" si="1352"/>
        <v>OK!</v>
      </c>
      <c r="R351" s="407" t="str">
        <f t="shared" si="1353"/>
        <v>OK!</v>
      </c>
      <c r="S351" s="407" t="str">
        <f t="shared" si="1354"/>
        <v>OK!</v>
      </c>
      <c r="T351" s="407" t="str">
        <f t="shared" si="1355"/>
        <v>OK!</v>
      </c>
    </row>
    <row r="352" spans="1:20" hidden="1" x14ac:dyDescent="0.15">
      <c r="A352" s="565" t="str">
        <f>A$10</f>
        <v>Shpenzimet kapitale</v>
      </c>
      <c r="B352" s="566"/>
      <c r="C352" s="563">
        <f>C353-C350-C351</f>
        <v>0</v>
      </c>
      <c r="D352" s="561">
        <f>D353-D350-D351</f>
        <v>0</v>
      </c>
      <c r="E352" s="561">
        <f>E353-E350-E351</f>
        <v>0</v>
      </c>
      <c r="F352" s="407" t="str">
        <f t="shared" si="1341"/>
        <v>OK!</v>
      </c>
      <c r="G352" s="407" t="str">
        <f t="shared" si="1342"/>
        <v>OK!</v>
      </c>
      <c r="H352" s="407" t="str">
        <f t="shared" si="1343"/>
        <v>OK!</v>
      </c>
      <c r="I352" s="407" t="str">
        <f t="shared" si="1344"/>
        <v>OK!</v>
      </c>
      <c r="J352" s="407" t="str">
        <f t="shared" si="1345"/>
        <v>OK!</v>
      </c>
      <c r="K352" s="407" t="str">
        <f t="shared" si="1346"/>
        <v>OK!</v>
      </c>
      <c r="L352" s="407" t="str">
        <f t="shared" si="1347"/>
        <v>OK!</v>
      </c>
      <c r="M352" s="407" t="str">
        <f t="shared" si="1348"/>
        <v>OK!</v>
      </c>
      <c r="N352" s="407" t="str">
        <f t="shared" si="1349"/>
        <v>OK!</v>
      </c>
      <c r="O352" s="407" t="str">
        <f t="shared" si="1350"/>
        <v>OK!</v>
      </c>
      <c r="P352" s="407" t="str">
        <f t="shared" si="1351"/>
        <v>OK!</v>
      </c>
      <c r="Q352" s="407" t="str">
        <f t="shared" si="1352"/>
        <v>OK!</v>
      </c>
      <c r="R352" s="407" t="str">
        <f t="shared" si="1353"/>
        <v>OK!</v>
      </c>
      <c r="S352" s="407" t="str">
        <f t="shared" si="1354"/>
        <v>OK!</v>
      </c>
      <c r="T352" s="407" t="str">
        <f t="shared" si="1355"/>
        <v>OK!</v>
      </c>
    </row>
    <row r="353" spans="1:20" hidden="1" x14ac:dyDescent="0.15">
      <c r="A353" s="555" t="str">
        <f>A$11</f>
        <v>Tavanet e përgjithshme</v>
      </c>
      <c r="B353" s="556"/>
      <c r="C353" s="564"/>
      <c r="D353" s="562"/>
      <c r="E353" s="562"/>
      <c r="F353" s="407" t="str">
        <f>IF(C353&lt;0,"STOPP!","OK!")</f>
        <v>OK!</v>
      </c>
      <c r="G353" s="407" t="str">
        <f t="shared" si="1342"/>
        <v>OK!</v>
      </c>
      <c r="H353" s="407" t="str">
        <f t="shared" si="1343"/>
        <v>OK!</v>
      </c>
      <c r="I353" s="407" t="str">
        <f t="shared" si="1344"/>
        <v>OK!</v>
      </c>
      <c r="J353" s="407" t="str">
        <f t="shared" si="1345"/>
        <v>OK!</v>
      </c>
      <c r="K353" s="407" t="str">
        <f t="shared" si="1346"/>
        <v>OK!</v>
      </c>
      <c r="L353" s="407" t="str">
        <f t="shared" si="1347"/>
        <v>OK!</v>
      </c>
      <c r="M353" s="407" t="str">
        <f t="shared" si="1348"/>
        <v>OK!</v>
      </c>
      <c r="N353" s="407" t="str">
        <f t="shared" si="1349"/>
        <v>OK!</v>
      </c>
      <c r="O353" s="407" t="str">
        <f t="shared" si="1350"/>
        <v>OK!</v>
      </c>
      <c r="P353" s="407" t="str">
        <f t="shared" si="1351"/>
        <v>OK!</v>
      </c>
      <c r="Q353" s="407" t="str">
        <f t="shared" si="1352"/>
        <v>OK!</v>
      </c>
      <c r="R353" s="407" t="str">
        <f t="shared" si="1353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7" t="str">
        <f>A$12</f>
        <v>Angazhimet kujtesë</v>
      </c>
      <c r="B354" s="563"/>
      <c r="C354" s="563">
        <f>'(C5) Angazhimet'!D119</f>
        <v>0</v>
      </c>
      <c r="D354" s="563">
        <f>'(C5) Angazhimet'!E119</f>
        <v>0</v>
      </c>
      <c r="E354" s="563">
        <f>'(C5) Angazhimet'!F119</f>
        <v>0</v>
      </c>
      <c r="F354" s="407" t="str">
        <f>IF(C354&gt;C353,"STOPP!","OK!")</f>
        <v>OK!</v>
      </c>
      <c r="G354" s="407" t="str">
        <f t="shared" si="1342"/>
        <v>OK!</v>
      </c>
      <c r="H354" s="407" t="str">
        <f t="shared" si="1343"/>
        <v>OK!</v>
      </c>
      <c r="I354" s="407" t="str">
        <f t="shared" si="1344"/>
        <v>OK!</v>
      </c>
      <c r="J354" s="407" t="str">
        <f t="shared" si="1345"/>
        <v>OK!</v>
      </c>
      <c r="K354" s="407" t="str">
        <f t="shared" si="1346"/>
        <v>OK!</v>
      </c>
      <c r="L354" s="407" t="str">
        <f t="shared" si="1347"/>
        <v>OK!</v>
      </c>
      <c r="M354" s="407" t="str">
        <f t="shared" si="1348"/>
        <v>OK!</v>
      </c>
      <c r="N354" s="407" t="str">
        <f t="shared" si="1349"/>
        <v>OK!</v>
      </c>
      <c r="O354" s="407" t="str">
        <f t="shared" si="1350"/>
        <v>OK!</v>
      </c>
      <c r="P354" s="407" t="str">
        <f t="shared" si="1351"/>
        <v>OK!</v>
      </c>
      <c r="Q354" s="407" t="str">
        <f t="shared" si="1352"/>
        <v>OK!</v>
      </c>
      <c r="R354" s="407" t="str">
        <f t="shared" si="1353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6" t="str">
        <f>'(B2) Struktura Organizative'!A55</f>
        <v>Nënfunksioni 21</v>
      </c>
      <c r="B355" s="894" t="str">
        <f>'(B2) Struktura Organizative'!B55</f>
        <v>091 Arsimi bazë dhe parashkollor</v>
      </c>
      <c r="C355" s="895"/>
      <c r="D355" s="895"/>
      <c r="E355" s="896"/>
      <c r="G355" s="312">
        <f>C359</f>
        <v>157605</v>
      </c>
      <c r="H355" s="312">
        <f t="shared" ref="H355" si="1356">D359</f>
        <v>157605</v>
      </c>
      <c r="I355" s="312">
        <f t="shared" ref="I355" si="1357">E359</f>
        <v>157605</v>
      </c>
      <c r="J355" s="312">
        <f>C356</f>
        <v>140348</v>
      </c>
      <c r="K355" s="312">
        <f t="shared" ref="K355" si="1358">D356</f>
        <v>140348</v>
      </c>
      <c r="L355" s="312">
        <f t="shared" ref="L355" si="1359">E356</f>
        <v>140348</v>
      </c>
      <c r="M355" s="312">
        <f>C357</f>
        <v>14307</v>
      </c>
      <c r="N355" s="312">
        <f t="shared" ref="N355" si="1360">D357</f>
        <v>14307</v>
      </c>
      <c r="O355" s="312">
        <f t="shared" ref="O355" si="1361">E357</f>
        <v>14307</v>
      </c>
      <c r="P355" s="312">
        <f>C358</f>
        <v>2950</v>
      </c>
      <c r="Q355" s="312">
        <f t="shared" ref="Q355" si="1362">D358</f>
        <v>2950</v>
      </c>
      <c r="R355" s="312">
        <f t="shared" ref="R355" si="1363">E358</f>
        <v>2950</v>
      </c>
    </row>
    <row r="356" spans="1:20" x14ac:dyDescent="0.15">
      <c r="A356" s="286" t="str">
        <f>A$8</f>
        <v>Pagat dhe sigurimet shoqërore</v>
      </c>
      <c r="B356" s="286"/>
      <c r="C356" s="563">
        <f>C362</f>
        <v>140348</v>
      </c>
      <c r="D356" s="563">
        <f t="shared" ref="D356:E356" si="1364">D362</f>
        <v>140348</v>
      </c>
      <c r="E356" s="563">
        <f t="shared" si="1364"/>
        <v>140348</v>
      </c>
      <c r="F356" s="407" t="str">
        <f t="shared" ref="F356:F358" si="1365">IF(C356&lt;0,"STOPP!","OK!")</f>
        <v>OK!</v>
      </c>
      <c r="G356" s="407" t="str">
        <f t="shared" ref="G356:G358" si="1366">IF(D356&lt;0,"STOPP!","OK!")</f>
        <v>OK!</v>
      </c>
      <c r="H356" s="407" t="str">
        <f t="shared" ref="H356:H358" si="1367">IF(E356&lt;0,"STOPP!","OK!")</f>
        <v>OK!</v>
      </c>
      <c r="I356" s="407" t="str">
        <f t="shared" ref="I356:I358" si="1368">IF(F356&lt;0,"STOPP!","OK!")</f>
        <v>OK!</v>
      </c>
      <c r="J356" s="407" t="str">
        <f t="shared" ref="J356:J358" si="1369">IF(G356&lt;0,"STOPP!","OK!")</f>
        <v>OK!</v>
      </c>
      <c r="K356" s="407" t="str">
        <f t="shared" ref="K356:K358" si="1370">IF(H356&lt;0,"STOPP!","OK!")</f>
        <v>OK!</v>
      </c>
      <c r="L356" s="407" t="str">
        <f t="shared" ref="L356:L358" si="1371">IF(I356&lt;0,"STOPP!","OK!")</f>
        <v>OK!</v>
      </c>
      <c r="M356" s="407" t="str">
        <f t="shared" ref="M356:M358" si="1372">IF(J356&lt;0,"STOPP!","OK!")</f>
        <v>OK!</v>
      </c>
      <c r="N356" s="407" t="str">
        <f t="shared" ref="N356:N358" si="1373">IF(K356&lt;0,"STOPP!","OK!")</f>
        <v>OK!</v>
      </c>
      <c r="O356" s="407" t="str">
        <f t="shared" ref="O356:O358" si="1374">IF(L356&lt;0,"STOPP!","OK!")</f>
        <v>OK!</v>
      </c>
      <c r="P356" s="407" t="str">
        <f t="shared" ref="P356:P358" si="1375">IF(M356&lt;0,"STOPP!","OK!")</f>
        <v>OK!</v>
      </c>
      <c r="Q356" s="407" t="str">
        <f t="shared" ref="Q356:Q358" si="1376">IF(N356&lt;0,"STOPP!","OK!")</f>
        <v>OK!</v>
      </c>
      <c r="R356" s="407" t="str">
        <f t="shared" ref="R356:R358" si="1377">IF(O356&lt;0,"STOPP!","OK!")</f>
        <v>OK!</v>
      </c>
      <c r="S356" s="407" t="str">
        <f t="shared" ref="S356:S358" si="1378">IF(D356&lt;0,"STOPP!","OK!")</f>
        <v>OK!</v>
      </c>
      <c r="T356" s="407" t="str">
        <f t="shared" ref="T356:T358" si="1379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3">
        <f>C363</f>
        <v>14307</v>
      </c>
      <c r="D357" s="563">
        <f t="shared" ref="D357:E357" si="1380">D363</f>
        <v>14307</v>
      </c>
      <c r="E357" s="563">
        <f t="shared" si="1380"/>
        <v>14307</v>
      </c>
      <c r="F357" s="407" t="str">
        <f t="shared" si="1365"/>
        <v>OK!</v>
      </c>
      <c r="G357" s="407" t="str">
        <f t="shared" si="1366"/>
        <v>OK!</v>
      </c>
      <c r="H357" s="407" t="str">
        <f t="shared" si="1367"/>
        <v>OK!</v>
      </c>
      <c r="I357" s="407" t="str">
        <f t="shared" si="1368"/>
        <v>OK!</v>
      </c>
      <c r="J357" s="407" t="str">
        <f t="shared" si="1369"/>
        <v>OK!</v>
      </c>
      <c r="K357" s="407" t="str">
        <f t="shared" si="1370"/>
        <v>OK!</v>
      </c>
      <c r="L357" s="407" t="str">
        <f t="shared" si="1371"/>
        <v>OK!</v>
      </c>
      <c r="M357" s="407" t="str">
        <f t="shared" si="1372"/>
        <v>OK!</v>
      </c>
      <c r="N357" s="407" t="str">
        <f t="shared" si="1373"/>
        <v>OK!</v>
      </c>
      <c r="O357" s="407" t="str">
        <f t="shared" si="1374"/>
        <v>OK!</v>
      </c>
      <c r="P357" s="407" t="str">
        <f t="shared" si="1375"/>
        <v>OK!</v>
      </c>
      <c r="Q357" s="407" t="str">
        <f t="shared" si="1376"/>
        <v>OK!</v>
      </c>
      <c r="R357" s="407" t="str">
        <f t="shared" si="1377"/>
        <v>OK!</v>
      </c>
      <c r="S357" s="407" t="str">
        <f t="shared" si="1378"/>
        <v>OK!</v>
      </c>
      <c r="T357" s="407" t="str">
        <f t="shared" si="1379"/>
        <v>OK!</v>
      </c>
    </row>
    <row r="358" spans="1:20" x14ac:dyDescent="0.15">
      <c r="A358" s="565" t="str">
        <f>A$10</f>
        <v>Shpenzimet kapitale</v>
      </c>
      <c r="B358" s="566"/>
      <c r="C358" s="563">
        <f>C359-C356-C357</f>
        <v>2950</v>
      </c>
      <c r="D358" s="561">
        <f>D359-D356-D357</f>
        <v>2950</v>
      </c>
      <c r="E358" s="561">
        <f>E359-E356-E357</f>
        <v>2950</v>
      </c>
      <c r="F358" s="407" t="str">
        <f t="shared" si="1365"/>
        <v>OK!</v>
      </c>
      <c r="G358" s="407" t="str">
        <f t="shared" si="1366"/>
        <v>OK!</v>
      </c>
      <c r="H358" s="407" t="str">
        <f t="shared" si="1367"/>
        <v>OK!</v>
      </c>
      <c r="I358" s="407" t="str">
        <f t="shared" si="1368"/>
        <v>OK!</v>
      </c>
      <c r="J358" s="407" t="str">
        <f t="shared" si="1369"/>
        <v>OK!</v>
      </c>
      <c r="K358" s="407" t="str">
        <f t="shared" si="1370"/>
        <v>OK!</v>
      </c>
      <c r="L358" s="407" t="str">
        <f t="shared" si="1371"/>
        <v>OK!</v>
      </c>
      <c r="M358" s="407" t="str">
        <f t="shared" si="1372"/>
        <v>OK!</v>
      </c>
      <c r="N358" s="407" t="str">
        <f t="shared" si="1373"/>
        <v>OK!</v>
      </c>
      <c r="O358" s="407" t="str">
        <f t="shared" si="1374"/>
        <v>OK!</v>
      </c>
      <c r="P358" s="407" t="str">
        <f t="shared" si="1375"/>
        <v>OK!</v>
      </c>
      <c r="Q358" s="407" t="str">
        <f t="shared" si="1376"/>
        <v>OK!</v>
      </c>
      <c r="R358" s="407" t="str">
        <f t="shared" si="1377"/>
        <v>OK!</v>
      </c>
      <c r="S358" s="407" t="str">
        <f t="shared" si="1378"/>
        <v>OK!</v>
      </c>
      <c r="T358" s="407" t="str">
        <f t="shared" si="1379"/>
        <v>OK!</v>
      </c>
    </row>
    <row r="359" spans="1:20" x14ac:dyDescent="0.15">
      <c r="A359" s="555" t="str">
        <f>A$11</f>
        <v>Tavanet e përgjithshme</v>
      </c>
      <c r="B359" s="556"/>
      <c r="C359" s="563">
        <f>C365</f>
        <v>157605</v>
      </c>
      <c r="D359" s="563">
        <f t="shared" ref="D359:E359" si="1381">D365</f>
        <v>157605</v>
      </c>
      <c r="E359" s="563">
        <f t="shared" si="1381"/>
        <v>157605</v>
      </c>
      <c r="F359" s="407" t="str">
        <f>IF(C359&lt;0,"STOPP!","OK!")</f>
        <v>OK!</v>
      </c>
      <c r="G359" s="407" t="str">
        <f t="shared" ref="G359:G360" si="1382">IF(D359&lt;0,"STOPP!","OK!")</f>
        <v>OK!</v>
      </c>
      <c r="H359" s="407" t="str">
        <f t="shared" ref="H359:H360" si="1383">IF(E359&lt;0,"STOPP!","OK!")</f>
        <v>OK!</v>
      </c>
      <c r="I359" s="407" t="str">
        <f t="shared" ref="I359:I360" si="1384">IF(F359&lt;0,"STOPP!","OK!")</f>
        <v>OK!</v>
      </c>
      <c r="J359" s="407" t="str">
        <f t="shared" ref="J359:J360" si="1385">IF(G359&lt;0,"STOPP!","OK!")</f>
        <v>OK!</v>
      </c>
      <c r="K359" s="407" t="str">
        <f t="shared" ref="K359:K360" si="1386">IF(H359&lt;0,"STOPP!","OK!")</f>
        <v>OK!</v>
      </c>
      <c r="L359" s="407" t="str">
        <f t="shared" ref="L359:L360" si="1387">IF(I359&lt;0,"STOPP!","OK!")</f>
        <v>OK!</v>
      </c>
      <c r="M359" s="407" t="str">
        <f t="shared" ref="M359:M360" si="1388">IF(J359&lt;0,"STOPP!","OK!")</f>
        <v>OK!</v>
      </c>
      <c r="N359" s="407" t="str">
        <f t="shared" ref="N359:N360" si="1389">IF(K359&lt;0,"STOPP!","OK!")</f>
        <v>OK!</v>
      </c>
      <c r="O359" s="407" t="str">
        <f t="shared" ref="O359:O360" si="1390">IF(L359&lt;0,"STOPP!","OK!")</f>
        <v>OK!</v>
      </c>
      <c r="P359" s="407" t="str">
        <f t="shared" ref="P359:P360" si="1391">IF(M359&lt;0,"STOPP!","OK!")</f>
        <v>OK!</v>
      </c>
      <c r="Q359" s="407" t="str">
        <f t="shared" ref="Q359:Q360" si="1392">IF(N359&lt;0,"STOPP!","OK!")</f>
        <v>OK!</v>
      </c>
      <c r="R359" s="407" t="str">
        <f t="shared" ref="R359:R360" si="1393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7" t="str">
        <f>A$12</f>
        <v>Angazhimet kujtesë</v>
      </c>
      <c r="B360" s="563"/>
      <c r="C360" s="563">
        <f>'(C5) Angazhimet'!D127</f>
        <v>0</v>
      </c>
      <c r="D360" s="561">
        <f>'(C5) Angazhimet'!E127</f>
        <v>0</v>
      </c>
      <c r="E360" s="561">
        <f>'(C5) Angazhimet'!F127</f>
        <v>0</v>
      </c>
      <c r="F360" s="407" t="str">
        <f>IF(C360&gt;C359,"STOPP!","OK!")</f>
        <v>OK!</v>
      </c>
      <c r="G360" s="407" t="str">
        <f t="shared" si="1382"/>
        <v>OK!</v>
      </c>
      <c r="H360" s="407" t="str">
        <f t="shared" si="1383"/>
        <v>OK!</v>
      </c>
      <c r="I360" s="407" t="str">
        <f t="shared" si="1384"/>
        <v>OK!</v>
      </c>
      <c r="J360" s="407" t="str">
        <f t="shared" si="1385"/>
        <v>OK!</v>
      </c>
      <c r="K360" s="407" t="str">
        <f t="shared" si="1386"/>
        <v>OK!</v>
      </c>
      <c r="L360" s="407" t="str">
        <f t="shared" si="1387"/>
        <v>OK!</v>
      </c>
      <c r="M360" s="407" t="str">
        <f t="shared" si="1388"/>
        <v>OK!</v>
      </c>
      <c r="N360" s="407" t="str">
        <f t="shared" si="1389"/>
        <v>OK!</v>
      </c>
      <c r="O360" s="407" t="str">
        <f t="shared" si="1390"/>
        <v>OK!</v>
      </c>
      <c r="P360" s="407" t="str">
        <f t="shared" si="1391"/>
        <v>OK!</v>
      </c>
      <c r="Q360" s="407" t="str">
        <f t="shared" si="1392"/>
        <v>OK!</v>
      </c>
      <c r="R360" s="407" t="str">
        <f t="shared" si="1393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6" t="str">
        <f>'(B3) Struktura Funksionale'!B109</f>
        <v>09120</v>
      </c>
      <c r="B361" s="894" t="str">
        <f>'(B3) Struktura Funksionale'!C109</f>
        <v>Arsimi bazë përfshirë arsimin parashkollor.</v>
      </c>
      <c r="C361" s="895"/>
      <c r="D361" s="895"/>
      <c r="E361" s="896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>
        <f>119159+21189</f>
        <v>140348</v>
      </c>
      <c r="D362" s="287">
        <f t="shared" ref="D362:E362" si="1394">119159+21189</f>
        <v>140348</v>
      </c>
      <c r="E362" s="287">
        <f t="shared" si="1394"/>
        <v>140348</v>
      </c>
      <c r="F362" s="407" t="str">
        <f t="shared" ref="F362:F364" si="1395">IF(C362&lt;0,"STOPP!","OK!")</f>
        <v>OK!</v>
      </c>
      <c r="G362" s="407" t="str">
        <f t="shared" ref="G362:G366" si="1396">IF(D362&lt;0,"STOPP!","OK!")</f>
        <v>OK!</v>
      </c>
      <c r="H362" s="407" t="str">
        <f t="shared" ref="H362:H366" si="1397">IF(E362&lt;0,"STOPP!","OK!")</f>
        <v>OK!</v>
      </c>
      <c r="I362" s="407" t="str">
        <f t="shared" ref="I362:I366" si="1398">IF(F362&lt;0,"STOPP!","OK!")</f>
        <v>OK!</v>
      </c>
      <c r="J362" s="407" t="str">
        <f t="shared" ref="J362:J366" si="1399">IF(G362&lt;0,"STOPP!","OK!")</f>
        <v>OK!</v>
      </c>
      <c r="K362" s="407" t="str">
        <f t="shared" ref="K362:K366" si="1400">IF(H362&lt;0,"STOPP!","OK!")</f>
        <v>OK!</v>
      </c>
      <c r="L362" s="407" t="str">
        <f t="shared" ref="L362:L366" si="1401">IF(I362&lt;0,"STOPP!","OK!")</f>
        <v>OK!</v>
      </c>
      <c r="M362" s="407" t="str">
        <f t="shared" ref="M362:M366" si="1402">IF(J362&lt;0,"STOPP!","OK!")</f>
        <v>OK!</v>
      </c>
      <c r="N362" s="407" t="str">
        <f t="shared" ref="N362:N366" si="1403">IF(K362&lt;0,"STOPP!","OK!")</f>
        <v>OK!</v>
      </c>
      <c r="O362" s="407" t="str">
        <f t="shared" ref="O362:O366" si="1404">IF(L362&lt;0,"STOPP!","OK!")</f>
        <v>OK!</v>
      </c>
      <c r="P362" s="407" t="str">
        <f t="shared" ref="P362:P366" si="1405">IF(M362&lt;0,"STOPP!","OK!")</f>
        <v>OK!</v>
      </c>
      <c r="Q362" s="407" t="str">
        <f t="shared" ref="Q362:Q366" si="1406">IF(N362&lt;0,"STOPP!","OK!")</f>
        <v>OK!</v>
      </c>
      <c r="R362" s="407" t="str">
        <f t="shared" ref="R362:R366" si="1407">IF(O362&lt;0,"STOPP!","OK!")</f>
        <v>OK!</v>
      </c>
      <c r="S362" s="407" t="str">
        <f t="shared" ref="S362:S364" si="1408">IF(D362&lt;0,"STOPP!","OK!")</f>
        <v>OK!</v>
      </c>
      <c r="T362" s="407" t="str">
        <f t="shared" ref="T362:T364" si="1409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f>7177+1800+5330</f>
        <v>14307</v>
      </c>
      <c r="D363" s="288">
        <f t="shared" ref="D363:E363" si="1410">7177+1800+5330</f>
        <v>14307</v>
      </c>
      <c r="E363" s="288">
        <f t="shared" si="1410"/>
        <v>14307</v>
      </c>
      <c r="F363" s="407" t="str">
        <f t="shared" si="1395"/>
        <v>OK!</v>
      </c>
      <c r="G363" s="407" t="str">
        <f t="shared" si="1396"/>
        <v>OK!</v>
      </c>
      <c r="H363" s="407" t="str">
        <f t="shared" si="1397"/>
        <v>OK!</v>
      </c>
      <c r="I363" s="407" t="str">
        <f t="shared" si="1398"/>
        <v>OK!</v>
      </c>
      <c r="J363" s="407" t="str">
        <f t="shared" si="1399"/>
        <v>OK!</v>
      </c>
      <c r="K363" s="407" t="str">
        <f t="shared" si="1400"/>
        <v>OK!</v>
      </c>
      <c r="L363" s="407" t="str">
        <f t="shared" si="1401"/>
        <v>OK!</v>
      </c>
      <c r="M363" s="407" t="str">
        <f t="shared" si="1402"/>
        <v>OK!</v>
      </c>
      <c r="N363" s="407" t="str">
        <f t="shared" si="1403"/>
        <v>OK!</v>
      </c>
      <c r="O363" s="407" t="str">
        <f t="shared" si="1404"/>
        <v>OK!</v>
      </c>
      <c r="P363" s="407" t="str">
        <f t="shared" si="1405"/>
        <v>OK!</v>
      </c>
      <c r="Q363" s="407" t="str">
        <f t="shared" si="1406"/>
        <v>OK!</v>
      </c>
      <c r="R363" s="407" t="str">
        <f t="shared" si="1407"/>
        <v>OK!</v>
      </c>
      <c r="S363" s="407" t="str">
        <f t="shared" si="1408"/>
        <v>OK!</v>
      </c>
      <c r="T363" s="407" t="str">
        <f t="shared" si="1409"/>
        <v>OK!</v>
      </c>
    </row>
    <row r="364" spans="1:20" x14ac:dyDescent="0.15">
      <c r="A364" s="565" t="str">
        <f>A$10</f>
        <v>Shpenzimet kapitale</v>
      </c>
      <c r="B364" s="566"/>
      <c r="C364" s="563">
        <f>C365-C362-C363</f>
        <v>2950</v>
      </c>
      <c r="D364" s="561">
        <f>D365-D362-D363</f>
        <v>2950</v>
      </c>
      <c r="E364" s="561">
        <f>E365-E362-E363</f>
        <v>2950</v>
      </c>
      <c r="F364" s="407" t="str">
        <f t="shared" si="1395"/>
        <v>OK!</v>
      </c>
      <c r="G364" s="407" t="str">
        <f t="shared" si="1396"/>
        <v>OK!</v>
      </c>
      <c r="H364" s="407" t="str">
        <f t="shared" si="1397"/>
        <v>OK!</v>
      </c>
      <c r="I364" s="407" t="str">
        <f t="shared" si="1398"/>
        <v>OK!</v>
      </c>
      <c r="J364" s="407" t="str">
        <f t="shared" si="1399"/>
        <v>OK!</v>
      </c>
      <c r="K364" s="407" t="str">
        <f t="shared" si="1400"/>
        <v>OK!</v>
      </c>
      <c r="L364" s="407" t="str">
        <f t="shared" si="1401"/>
        <v>OK!</v>
      </c>
      <c r="M364" s="407" t="str">
        <f t="shared" si="1402"/>
        <v>OK!</v>
      </c>
      <c r="N364" s="407" t="str">
        <f t="shared" si="1403"/>
        <v>OK!</v>
      </c>
      <c r="O364" s="407" t="str">
        <f t="shared" si="1404"/>
        <v>OK!</v>
      </c>
      <c r="P364" s="407" t="str">
        <f t="shared" si="1405"/>
        <v>OK!</v>
      </c>
      <c r="Q364" s="407" t="str">
        <f t="shared" si="1406"/>
        <v>OK!</v>
      </c>
      <c r="R364" s="407" t="str">
        <f t="shared" si="1407"/>
        <v>OK!</v>
      </c>
      <c r="S364" s="407" t="str">
        <f t="shared" si="1408"/>
        <v>OK!</v>
      </c>
      <c r="T364" s="407" t="str">
        <f t="shared" si="1409"/>
        <v>OK!</v>
      </c>
    </row>
    <row r="365" spans="1:20" x14ac:dyDescent="0.15">
      <c r="A365" s="555" t="str">
        <f>A$11</f>
        <v>Tavanet e përgjithshme</v>
      </c>
      <c r="B365" s="556"/>
      <c r="C365" s="564">
        <f>152274+5331</f>
        <v>157605</v>
      </c>
      <c r="D365" s="564">
        <f t="shared" ref="D365:E365" si="1411">152274+5331</f>
        <v>157605</v>
      </c>
      <c r="E365" s="564">
        <f t="shared" si="1411"/>
        <v>157605</v>
      </c>
      <c r="F365" s="407" t="str">
        <f>IF(C365&lt;0,"STOPP!","OK!")</f>
        <v>OK!</v>
      </c>
      <c r="G365" s="407" t="str">
        <f t="shared" si="1396"/>
        <v>OK!</v>
      </c>
      <c r="H365" s="407" t="str">
        <f t="shared" si="1397"/>
        <v>OK!</v>
      </c>
      <c r="I365" s="407" t="str">
        <f t="shared" si="1398"/>
        <v>OK!</v>
      </c>
      <c r="J365" s="407" t="str">
        <f t="shared" si="1399"/>
        <v>OK!</v>
      </c>
      <c r="K365" s="407" t="str">
        <f t="shared" si="1400"/>
        <v>OK!</v>
      </c>
      <c r="L365" s="407" t="str">
        <f t="shared" si="1401"/>
        <v>OK!</v>
      </c>
      <c r="M365" s="407" t="str">
        <f t="shared" si="1402"/>
        <v>OK!</v>
      </c>
      <c r="N365" s="407" t="str">
        <f t="shared" si="1403"/>
        <v>OK!</v>
      </c>
      <c r="O365" s="407" t="str">
        <f t="shared" si="1404"/>
        <v>OK!</v>
      </c>
      <c r="P365" s="407" t="str">
        <f t="shared" si="1405"/>
        <v>OK!</v>
      </c>
      <c r="Q365" s="407" t="str">
        <f t="shared" si="1406"/>
        <v>OK!</v>
      </c>
      <c r="R365" s="407" t="str">
        <f t="shared" si="1407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7" t="str">
        <f>A$12</f>
        <v>Angazhimet kujtesë</v>
      </c>
      <c r="B366" s="563"/>
      <c r="C366" s="563">
        <f>'(C5) Angazhimet'!D123</f>
        <v>0</v>
      </c>
      <c r="D366" s="563">
        <f>'(C5) Angazhimet'!E123</f>
        <v>0</v>
      </c>
      <c r="E366" s="563">
        <f>'(C5) Angazhimet'!F123</f>
        <v>0</v>
      </c>
      <c r="F366" s="407" t="str">
        <f>IF(C366&gt;C365,"STOPP!","OK!")</f>
        <v>OK!</v>
      </c>
      <c r="G366" s="407" t="str">
        <f t="shared" si="1396"/>
        <v>OK!</v>
      </c>
      <c r="H366" s="407" t="str">
        <f t="shared" si="1397"/>
        <v>OK!</v>
      </c>
      <c r="I366" s="407" t="str">
        <f t="shared" si="1398"/>
        <v>OK!</v>
      </c>
      <c r="J366" s="407" t="str">
        <f t="shared" si="1399"/>
        <v>OK!</v>
      </c>
      <c r="K366" s="407" t="str">
        <f t="shared" si="1400"/>
        <v>OK!</v>
      </c>
      <c r="L366" s="407" t="str">
        <f t="shared" si="1401"/>
        <v>OK!</v>
      </c>
      <c r="M366" s="407" t="str">
        <f t="shared" si="1402"/>
        <v>OK!</v>
      </c>
      <c r="N366" s="407" t="str">
        <f t="shared" si="1403"/>
        <v>OK!</v>
      </c>
      <c r="O366" s="407" t="str">
        <f t="shared" si="1404"/>
        <v>OK!</v>
      </c>
      <c r="P366" s="407" t="str">
        <f t="shared" si="1405"/>
        <v>OK!</v>
      </c>
      <c r="Q366" s="407" t="str">
        <f t="shared" si="1406"/>
        <v>OK!</v>
      </c>
      <c r="R366" s="407" t="str">
        <f t="shared" si="1407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6" t="str">
        <f>'(B2) Struktura Organizative'!A57</f>
        <v>Nënfunksioni 22</v>
      </c>
      <c r="B367" s="894" t="str">
        <f>'(B2) Struktura Organizative'!B57</f>
        <v>092 Arsimi  parauniversitar</v>
      </c>
      <c r="C367" s="895"/>
      <c r="D367" s="895"/>
      <c r="E367" s="896"/>
      <c r="G367" s="312">
        <f>C371</f>
        <v>47632</v>
      </c>
      <c r="H367" s="312">
        <f t="shared" ref="H367" si="1412">D371</f>
        <v>47632</v>
      </c>
      <c r="I367" s="312">
        <f t="shared" ref="I367" si="1413">E371</f>
        <v>47632</v>
      </c>
      <c r="J367" s="312">
        <f>C368</f>
        <v>33608</v>
      </c>
      <c r="K367" s="312">
        <f t="shared" ref="K367" si="1414">D368</f>
        <v>33608</v>
      </c>
      <c r="L367" s="312">
        <f t="shared" ref="L367" si="1415">E368</f>
        <v>33608</v>
      </c>
      <c r="M367" s="312">
        <f>C369</f>
        <v>14024</v>
      </c>
      <c r="N367" s="312">
        <f t="shared" ref="N367" si="1416">D369</f>
        <v>14024</v>
      </c>
      <c r="O367" s="312">
        <f t="shared" ref="O367" si="1417">E369</f>
        <v>14024</v>
      </c>
      <c r="P367" s="312">
        <f>C370</f>
        <v>0</v>
      </c>
      <c r="Q367" s="312">
        <f t="shared" ref="Q367" si="1418">D370</f>
        <v>0</v>
      </c>
      <c r="R367" s="312">
        <f t="shared" ref="R367" si="1419">E370</f>
        <v>0</v>
      </c>
    </row>
    <row r="368" spans="1:20" x14ac:dyDescent="0.15">
      <c r="A368" s="286" t="str">
        <f>A$8</f>
        <v>Pagat dhe sigurimet shoqërore</v>
      </c>
      <c r="B368" s="286"/>
      <c r="C368" s="563">
        <f>C374+C380+C386</f>
        <v>33608</v>
      </c>
      <c r="D368" s="563">
        <f t="shared" ref="D368:E368" si="1420">D374+D380+D386</f>
        <v>33608</v>
      </c>
      <c r="E368" s="563">
        <f t="shared" si="1420"/>
        <v>33608</v>
      </c>
      <c r="F368" s="407" t="str">
        <f t="shared" ref="F368:F370" si="1421">IF(C368&lt;0,"STOPP!","OK!")</f>
        <v>OK!</v>
      </c>
      <c r="G368" s="407" t="str">
        <f t="shared" ref="G368:G370" si="1422">IF(D368&lt;0,"STOPP!","OK!")</f>
        <v>OK!</v>
      </c>
      <c r="H368" s="407" t="str">
        <f t="shared" ref="H368:H370" si="1423">IF(E368&lt;0,"STOPP!","OK!")</f>
        <v>OK!</v>
      </c>
      <c r="I368" s="407" t="str">
        <f t="shared" ref="I368:I370" si="1424">IF(F368&lt;0,"STOPP!","OK!")</f>
        <v>OK!</v>
      </c>
      <c r="J368" s="407" t="str">
        <f t="shared" ref="J368:J370" si="1425">IF(G368&lt;0,"STOPP!","OK!")</f>
        <v>OK!</v>
      </c>
      <c r="K368" s="407" t="str">
        <f t="shared" ref="K368:K370" si="1426">IF(H368&lt;0,"STOPP!","OK!")</f>
        <v>OK!</v>
      </c>
      <c r="L368" s="407" t="str">
        <f t="shared" ref="L368:L370" si="1427">IF(I368&lt;0,"STOPP!","OK!")</f>
        <v>OK!</v>
      </c>
      <c r="M368" s="407" t="str">
        <f t="shared" ref="M368:M370" si="1428">IF(J368&lt;0,"STOPP!","OK!")</f>
        <v>OK!</v>
      </c>
      <c r="N368" s="407" t="str">
        <f t="shared" ref="N368:N370" si="1429">IF(K368&lt;0,"STOPP!","OK!")</f>
        <v>OK!</v>
      </c>
      <c r="O368" s="407" t="str">
        <f t="shared" ref="O368:O370" si="1430">IF(L368&lt;0,"STOPP!","OK!")</f>
        <v>OK!</v>
      </c>
      <c r="P368" s="407" t="str">
        <f t="shared" ref="P368:P370" si="1431">IF(M368&lt;0,"STOPP!","OK!")</f>
        <v>OK!</v>
      </c>
      <c r="Q368" s="407" t="str">
        <f t="shared" ref="Q368:Q370" si="1432">IF(N368&lt;0,"STOPP!","OK!")</f>
        <v>OK!</v>
      </c>
      <c r="R368" s="407" t="str">
        <f t="shared" ref="R368:R370" si="1433">IF(O368&lt;0,"STOPP!","OK!")</f>
        <v>OK!</v>
      </c>
      <c r="S368" s="407" t="str">
        <f t="shared" ref="S368:S370" si="1434">IF(D368&lt;0,"STOPP!","OK!")</f>
        <v>OK!</v>
      </c>
      <c r="T368" s="407" t="str">
        <f t="shared" ref="T368:T370" si="1435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3">
        <f>C375+C381+C387</f>
        <v>14024</v>
      </c>
      <c r="D369" s="563">
        <f t="shared" ref="D369:E369" si="1436">D375+D381+D387</f>
        <v>14024</v>
      </c>
      <c r="E369" s="563">
        <f t="shared" si="1436"/>
        <v>14024</v>
      </c>
      <c r="F369" s="407" t="str">
        <f t="shared" si="1421"/>
        <v>OK!</v>
      </c>
      <c r="G369" s="407" t="str">
        <f t="shared" si="1422"/>
        <v>OK!</v>
      </c>
      <c r="H369" s="407" t="str">
        <f t="shared" si="1423"/>
        <v>OK!</v>
      </c>
      <c r="I369" s="407" t="str">
        <f t="shared" si="1424"/>
        <v>OK!</v>
      </c>
      <c r="J369" s="407" t="str">
        <f t="shared" si="1425"/>
        <v>OK!</v>
      </c>
      <c r="K369" s="407" t="str">
        <f t="shared" si="1426"/>
        <v>OK!</v>
      </c>
      <c r="L369" s="407" t="str">
        <f t="shared" si="1427"/>
        <v>OK!</v>
      </c>
      <c r="M369" s="407" t="str">
        <f t="shared" si="1428"/>
        <v>OK!</v>
      </c>
      <c r="N369" s="407" t="str">
        <f t="shared" si="1429"/>
        <v>OK!</v>
      </c>
      <c r="O369" s="407" t="str">
        <f t="shared" si="1430"/>
        <v>OK!</v>
      </c>
      <c r="P369" s="407" t="str">
        <f t="shared" si="1431"/>
        <v>OK!</v>
      </c>
      <c r="Q369" s="407" t="str">
        <f t="shared" si="1432"/>
        <v>OK!</v>
      </c>
      <c r="R369" s="407" t="str">
        <f t="shared" si="1433"/>
        <v>OK!</v>
      </c>
      <c r="S369" s="407" t="str">
        <f t="shared" si="1434"/>
        <v>OK!</v>
      </c>
      <c r="T369" s="407" t="str">
        <f t="shared" si="1435"/>
        <v>OK!</v>
      </c>
    </row>
    <row r="370" spans="1:20" x14ac:dyDescent="0.15">
      <c r="A370" s="565" t="str">
        <f>A$10</f>
        <v>Shpenzimet kapitale</v>
      </c>
      <c r="B370" s="566"/>
      <c r="C370" s="563">
        <f>C371-C368-C369</f>
        <v>0</v>
      </c>
      <c r="D370" s="561">
        <f>D371-D368-D369</f>
        <v>0</v>
      </c>
      <c r="E370" s="561">
        <f>E371-E368-E369</f>
        <v>0</v>
      </c>
      <c r="F370" s="407" t="str">
        <f t="shared" si="1421"/>
        <v>OK!</v>
      </c>
      <c r="G370" s="407" t="str">
        <f t="shared" si="1422"/>
        <v>OK!</v>
      </c>
      <c r="H370" s="407" t="str">
        <f t="shared" si="1423"/>
        <v>OK!</v>
      </c>
      <c r="I370" s="407" t="str">
        <f t="shared" si="1424"/>
        <v>OK!</v>
      </c>
      <c r="J370" s="407" t="str">
        <f t="shared" si="1425"/>
        <v>OK!</v>
      </c>
      <c r="K370" s="407" t="str">
        <f t="shared" si="1426"/>
        <v>OK!</v>
      </c>
      <c r="L370" s="407" t="str">
        <f t="shared" si="1427"/>
        <v>OK!</v>
      </c>
      <c r="M370" s="407" t="str">
        <f t="shared" si="1428"/>
        <v>OK!</v>
      </c>
      <c r="N370" s="407" t="str">
        <f t="shared" si="1429"/>
        <v>OK!</v>
      </c>
      <c r="O370" s="407" t="str">
        <f t="shared" si="1430"/>
        <v>OK!</v>
      </c>
      <c r="P370" s="407" t="str">
        <f t="shared" si="1431"/>
        <v>OK!</v>
      </c>
      <c r="Q370" s="407" t="str">
        <f t="shared" si="1432"/>
        <v>OK!</v>
      </c>
      <c r="R370" s="407" t="str">
        <f t="shared" si="1433"/>
        <v>OK!</v>
      </c>
      <c r="S370" s="407" t="str">
        <f t="shared" si="1434"/>
        <v>OK!</v>
      </c>
      <c r="T370" s="407" t="str">
        <f t="shared" si="1435"/>
        <v>OK!</v>
      </c>
    </row>
    <row r="371" spans="1:20" x14ac:dyDescent="0.15">
      <c r="A371" s="555" t="str">
        <f>A$11</f>
        <v>Tavanet e përgjithshme</v>
      </c>
      <c r="B371" s="556"/>
      <c r="C371" s="563">
        <f>C377+C383+C389</f>
        <v>47632</v>
      </c>
      <c r="D371" s="563">
        <f t="shared" ref="D371:E371" si="1437">D377+D383+D389</f>
        <v>47632</v>
      </c>
      <c r="E371" s="563">
        <f t="shared" si="1437"/>
        <v>47632</v>
      </c>
      <c r="F371" s="407" t="str">
        <f>IF(C371&lt;0,"STOPP!","OK!")</f>
        <v>OK!</v>
      </c>
      <c r="G371" s="407" t="str">
        <f t="shared" ref="G371:G372" si="1438">IF(D371&lt;0,"STOPP!","OK!")</f>
        <v>OK!</v>
      </c>
      <c r="H371" s="407" t="str">
        <f t="shared" ref="H371:H372" si="1439">IF(E371&lt;0,"STOPP!","OK!")</f>
        <v>OK!</v>
      </c>
      <c r="I371" s="407" t="str">
        <f t="shared" ref="I371:I372" si="1440">IF(F371&lt;0,"STOPP!","OK!")</f>
        <v>OK!</v>
      </c>
      <c r="J371" s="407" t="str">
        <f t="shared" ref="J371:J372" si="1441">IF(G371&lt;0,"STOPP!","OK!")</f>
        <v>OK!</v>
      </c>
      <c r="K371" s="407" t="str">
        <f t="shared" ref="K371:K372" si="1442">IF(H371&lt;0,"STOPP!","OK!")</f>
        <v>OK!</v>
      </c>
      <c r="L371" s="407" t="str">
        <f t="shared" ref="L371:L372" si="1443">IF(I371&lt;0,"STOPP!","OK!")</f>
        <v>OK!</v>
      </c>
      <c r="M371" s="407" t="str">
        <f t="shared" ref="M371:M372" si="1444">IF(J371&lt;0,"STOPP!","OK!")</f>
        <v>OK!</v>
      </c>
      <c r="N371" s="407" t="str">
        <f t="shared" ref="N371:N372" si="1445">IF(K371&lt;0,"STOPP!","OK!")</f>
        <v>OK!</v>
      </c>
      <c r="O371" s="407" t="str">
        <f t="shared" ref="O371:O372" si="1446">IF(L371&lt;0,"STOPP!","OK!")</f>
        <v>OK!</v>
      </c>
      <c r="P371" s="407" t="str">
        <f t="shared" ref="P371:P372" si="1447">IF(M371&lt;0,"STOPP!","OK!")</f>
        <v>OK!</v>
      </c>
      <c r="Q371" s="407" t="str">
        <f t="shared" ref="Q371:Q372" si="1448">IF(N371&lt;0,"STOPP!","OK!")</f>
        <v>OK!</v>
      </c>
      <c r="R371" s="407" t="str">
        <f t="shared" ref="R371:R372" si="1449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7" t="str">
        <f>A$12</f>
        <v>Angazhimet kujtesë</v>
      </c>
      <c r="B372" s="563"/>
      <c r="C372" s="563">
        <f>'(C5) Angazhimet'!D133</f>
        <v>0</v>
      </c>
      <c r="D372" s="561">
        <f>'(C5) Angazhimet'!E133</f>
        <v>0</v>
      </c>
      <c r="E372" s="561">
        <f>'(C5) Angazhimet'!F133</f>
        <v>0</v>
      </c>
      <c r="F372" s="407" t="str">
        <f>IF(C372&gt;C371,"STOPP!","OK!")</f>
        <v>OK!</v>
      </c>
      <c r="G372" s="407" t="str">
        <f t="shared" si="1438"/>
        <v>OK!</v>
      </c>
      <c r="H372" s="407" t="str">
        <f t="shared" si="1439"/>
        <v>OK!</v>
      </c>
      <c r="I372" s="407" t="str">
        <f t="shared" si="1440"/>
        <v>OK!</v>
      </c>
      <c r="J372" s="407" t="str">
        <f t="shared" si="1441"/>
        <v>OK!</v>
      </c>
      <c r="K372" s="407" t="str">
        <f t="shared" si="1442"/>
        <v>OK!</v>
      </c>
      <c r="L372" s="407" t="str">
        <f t="shared" si="1443"/>
        <v>OK!</v>
      </c>
      <c r="M372" s="407" t="str">
        <f t="shared" si="1444"/>
        <v>OK!</v>
      </c>
      <c r="N372" s="407" t="str">
        <f t="shared" si="1445"/>
        <v>OK!</v>
      </c>
      <c r="O372" s="407" t="str">
        <f t="shared" si="1446"/>
        <v>OK!</v>
      </c>
      <c r="P372" s="407" t="str">
        <f t="shared" si="1447"/>
        <v>OK!</v>
      </c>
      <c r="Q372" s="407" t="str">
        <f t="shared" si="1448"/>
        <v>OK!</v>
      </c>
      <c r="R372" s="407" t="str">
        <f t="shared" si="1449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7" t="str">
        <f>'(B3) Struktura Funksionale'!B114</f>
        <v>09230</v>
      </c>
      <c r="B373" s="891" t="str">
        <f>'(B3) Struktura Funksionale'!C114</f>
        <v>Arsimi i mesëm i përgjithshëm</v>
      </c>
      <c r="C373" s="892"/>
      <c r="D373" s="892"/>
      <c r="E373" s="893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>
        <f>8174+1365</f>
        <v>9539</v>
      </c>
      <c r="D374" s="287">
        <f t="shared" ref="D374:E374" si="1450">8174+1365</f>
        <v>9539</v>
      </c>
      <c r="E374" s="287">
        <f t="shared" si="1450"/>
        <v>9539</v>
      </c>
      <c r="F374" s="407" t="str">
        <f t="shared" ref="F374:F376" si="1451">IF(C374&lt;0,"STOPP!","OK!")</f>
        <v>OK!</v>
      </c>
      <c r="G374" s="407" t="str">
        <f t="shared" ref="G374:G378" si="1452">IF(D374&lt;0,"STOPP!","OK!")</f>
        <v>OK!</v>
      </c>
      <c r="H374" s="407" t="str">
        <f t="shared" ref="H374:H378" si="1453">IF(E374&lt;0,"STOPP!","OK!")</f>
        <v>OK!</v>
      </c>
      <c r="I374" s="407" t="str">
        <f t="shared" ref="I374:I378" si="1454">IF(F374&lt;0,"STOPP!","OK!")</f>
        <v>OK!</v>
      </c>
      <c r="J374" s="407" t="str">
        <f t="shared" ref="J374:J378" si="1455">IF(G374&lt;0,"STOPP!","OK!")</f>
        <v>OK!</v>
      </c>
      <c r="K374" s="407" t="str">
        <f t="shared" ref="K374:K378" si="1456">IF(H374&lt;0,"STOPP!","OK!")</f>
        <v>OK!</v>
      </c>
      <c r="L374" s="407" t="str">
        <f t="shared" ref="L374:L378" si="1457">IF(I374&lt;0,"STOPP!","OK!")</f>
        <v>OK!</v>
      </c>
      <c r="M374" s="407" t="str">
        <f t="shared" ref="M374:M378" si="1458">IF(J374&lt;0,"STOPP!","OK!")</f>
        <v>OK!</v>
      </c>
      <c r="N374" s="407" t="str">
        <f t="shared" ref="N374:N378" si="1459">IF(K374&lt;0,"STOPP!","OK!")</f>
        <v>OK!</v>
      </c>
      <c r="O374" s="407" t="str">
        <f t="shared" ref="O374:O378" si="1460">IF(L374&lt;0,"STOPP!","OK!")</f>
        <v>OK!</v>
      </c>
      <c r="P374" s="407" t="str">
        <f t="shared" ref="P374:P378" si="1461">IF(M374&lt;0,"STOPP!","OK!")</f>
        <v>OK!</v>
      </c>
      <c r="Q374" s="407" t="str">
        <f t="shared" ref="Q374:Q378" si="1462">IF(N374&lt;0,"STOPP!","OK!")</f>
        <v>OK!</v>
      </c>
      <c r="R374" s="407" t="str">
        <f t="shared" ref="R374:R378" si="1463">IF(O374&lt;0,"STOPP!","OK!")</f>
        <v>OK!</v>
      </c>
      <c r="S374" s="407" t="str">
        <f t="shared" ref="S374:S376" si="1464">IF(D374&lt;0,"STOPP!","OK!")</f>
        <v>OK!</v>
      </c>
      <c r="T374" s="407" t="str">
        <f t="shared" ref="T374:T376" si="1465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f>3657+400</f>
        <v>4057</v>
      </c>
      <c r="D375" s="288">
        <f t="shared" ref="D375:E375" si="1466">3657+400</f>
        <v>4057</v>
      </c>
      <c r="E375" s="288">
        <f t="shared" si="1466"/>
        <v>4057</v>
      </c>
      <c r="F375" s="407" t="str">
        <f t="shared" si="1451"/>
        <v>OK!</v>
      </c>
      <c r="G375" s="407" t="str">
        <f t="shared" si="1452"/>
        <v>OK!</v>
      </c>
      <c r="H375" s="407" t="str">
        <f t="shared" si="1453"/>
        <v>OK!</v>
      </c>
      <c r="I375" s="407" t="str">
        <f t="shared" si="1454"/>
        <v>OK!</v>
      </c>
      <c r="J375" s="407" t="str">
        <f t="shared" si="1455"/>
        <v>OK!</v>
      </c>
      <c r="K375" s="407" t="str">
        <f t="shared" si="1456"/>
        <v>OK!</v>
      </c>
      <c r="L375" s="407" t="str">
        <f t="shared" si="1457"/>
        <v>OK!</v>
      </c>
      <c r="M375" s="407" t="str">
        <f t="shared" si="1458"/>
        <v>OK!</v>
      </c>
      <c r="N375" s="407" t="str">
        <f t="shared" si="1459"/>
        <v>OK!</v>
      </c>
      <c r="O375" s="407" t="str">
        <f t="shared" si="1460"/>
        <v>OK!</v>
      </c>
      <c r="P375" s="407" t="str">
        <f t="shared" si="1461"/>
        <v>OK!</v>
      </c>
      <c r="Q375" s="407" t="str">
        <f t="shared" si="1462"/>
        <v>OK!</v>
      </c>
      <c r="R375" s="407" t="str">
        <f t="shared" si="1463"/>
        <v>OK!</v>
      </c>
      <c r="S375" s="407" t="str">
        <f t="shared" si="1464"/>
        <v>OK!</v>
      </c>
      <c r="T375" s="407" t="str">
        <f t="shared" si="1465"/>
        <v>OK!</v>
      </c>
    </row>
    <row r="376" spans="1:20" x14ac:dyDescent="0.15">
      <c r="A376" s="565" t="str">
        <f>A$10</f>
        <v>Shpenzimet kapitale</v>
      </c>
      <c r="B376" s="566"/>
      <c r="C376" s="563">
        <f>C377-C374-C375</f>
        <v>0</v>
      </c>
      <c r="D376" s="561">
        <f>D377-D374-D375</f>
        <v>0</v>
      </c>
      <c r="E376" s="561">
        <f>E377-E374-E375</f>
        <v>0</v>
      </c>
      <c r="F376" s="407" t="str">
        <f t="shared" si="1451"/>
        <v>OK!</v>
      </c>
      <c r="G376" s="407" t="str">
        <f t="shared" si="1452"/>
        <v>OK!</v>
      </c>
      <c r="H376" s="407" t="str">
        <f t="shared" si="1453"/>
        <v>OK!</v>
      </c>
      <c r="I376" s="407" t="str">
        <f t="shared" si="1454"/>
        <v>OK!</v>
      </c>
      <c r="J376" s="407" t="str">
        <f t="shared" si="1455"/>
        <v>OK!</v>
      </c>
      <c r="K376" s="407" t="str">
        <f t="shared" si="1456"/>
        <v>OK!</v>
      </c>
      <c r="L376" s="407" t="str">
        <f t="shared" si="1457"/>
        <v>OK!</v>
      </c>
      <c r="M376" s="407" t="str">
        <f t="shared" si="1458"/>
        <v>OK!</v>
      </c>
      <c r="N376" s="407" t="str">
        <f t="shared" si="1459"/>
        <v>OK!</v>
      </c>
      <c r="O376" s="407" t="str">
        <f t="shared" si="1460"/>
        <v>OK!</v>
      </c>
      <c r="P376" s="407" t="str">
        <f t="shared" si="1461"/>
        <v>OK!</v>
      </c>
      <c r="Q376" s="407" t="str">
        <f t="shared" si="1462"/>
        <v>OK!</v>
      </c>
      <c r="R376" s="407" t="str">
        <f t="shared" si="1463"/>
        <v>OK!</v>
      </c>
      <c r="S376" s="407" t="str">
        <f t="shared" si="1464"/>
        <v>OK!</v>
      </c>
      <c r="T376" s="407" t="str">
        <f t="shared" si="1465"/>
        <v>OK!</v>
      </c>
    </row>
    <row r="377" spans="1:20" x14ac:dyDescent="0.15">
      <c r="A377" s="555" t="str">
        <f>A$11</f>
        <v>Tavanet e përgjithshme</v>
      </c>
      <c r="B377" s="556"/>
      <c r="C377" s="564">
        <v>13596</v>
      </c>
      <c r="D377" s="564">
        <v>13596</v>
      </c>
      <c r="E377" s="564">
        <v>13596</v>
      </c>
      <c r="F377" s="407" t="str">
        <f>IF(C377&lt;0,"STOPP!","OK!")</f>
        <v>OK!</v>
      </c>
      <c r="G377" s="407" t="str">
        <f t="shared" si="1452"/>
        <v>OK!</v>
      </c>
      <c r="H377" s="407" t="str">
        <f t="shared" si="1453"/>
        <v>OK!</v>
      </c>
      <c r="I377" s="407" t="str">
        <f t="shared" si="1454"/>
        <v>OK!</v>
      </c>
      <c r="J377" s="407" t="str">
        <f t="shared" si="1455"/>
        <v>OK!</v>
      </c>
      <c r="K377" s="407" t="str">
        <f t="shared" si="1456"/>
        <v>OK!</v>
      </c>
      <c r="L377" s="407" t="str">
        <f t="shared" si="1457"/>
        <v>OK!</v>
      </c>
      <c r="M377" s="407" t="str">
        <f t="shared" si="1458"/>
        <v>OK!</v>
      </c>
      <c r="N377" s="407" t="str">
        <f t="shared" si="1459"/>
        <v>OK!</v>
      </c>
      <c r="O377" s="407" t="str">
        <f t="shared" si="1460"/>
        <v>OK!</v>
      </c>
      <c r="P377" s="407" t="str">
        <f t="shared" si="1461"/>
        <v>OK!</v>
      </c>
      <c r="Q377" s="407" t="str">
        <f t="shared" si="1462"/>
        <v>OK!</v>
      </c>
      <c r="R377" s="407" t="str">
        <f t="shared" si="1463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7" t="str">
        <f>A$12</f>
        <v>Angazhimet kujtesë</v>
      </c>
      <c r="B378" s="563"/>
      <c r="C378" s="563">
        <f>'(C5) Angazhimet'!D129</f>
        <v>0</v>
      </c>
      <c r="D378" s="563">
        <f>'(C5) Angazhimet'!E129</f>
        <v>0</v>
      </c>
      <c r="E378" s="563">
        <f>'(C5) Angazhimet'!F129</f>
        <v>0</v>
      </c>
      <c r="F378" s="407" t="str">
        <f>IF(C378&gt;C377,"STOPP!","OK!")</f>
        <v>OK!</v>
      </c>
      <c r="G378" s="407" t="str">
        <f t="shared" si="1452"/>
        <v>OK!</v>
      </c>
      <c r="H378" s="407" t="str">
        <f t="shared" si="1453"/>
        <v>OK!</v>
      </c>
      <c r="I378" s="407" t="str">
        <f t="shared" si="1454"/>
        <v>OK!</v>
      </c>
      <c r="J378" s="407" t="str">
        <f t="shared" si="1455"/>
        <v>OK!</v>
      </c>
      <c r="K378" s="407" t="str">
        <f t="shared" si="1456"/>
        <v>OK!</v>
      </c>
      <c r="L378" s="407" t="str">
        <f t="shared" si="1457"/>
        <v>OK!</v>
      </c>
      <c r="M378" s="407" t="str">
        <f t="shared" si="1458"/>
        <v>OK!</v>
      </c>
      <c r="N378" s="407" t="str">
        <f t="shared" si="1459"/>
        <v>OK!</v>
      </c>
      <c r="O378" s="407" t="str">
        <f t="shared" si="1460"/>
        <v>OK!</v>
      </c>
      <c r="P378" s="407" t="str">
        <f t="shared" si="1461"/>
        <v>OK!</v>
      </c>
      <c r="Q378" s="407" t="str">
        <f t="shared" si="1462"/>
        <v>OK!</v>
      </c>
      <c r="R378" s="407" t="str">
        <f t="shared" si="1463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7" t="str">
        <f>'(B3) Struktura Funksionale'!B115</f>
        <v>09232</v>
      </c>
      <c r="B379" s="891" t="str">
        <f>'(B3) Struktura Funksionale'!C115</f>
        <v>Pagat e stafit mbështetës</v>
      </c>
      <c r="C379" s="892"/>
      <c r="D379" s="892"/>
      <c r="E379" s="893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67">IF(C380&lt;0,"STOPP!","OK!")</f>
        <v>OK!</v>
      </c>
      <c r="G380" s="407" t="str">
        <f t="shared" ref="G380:G384" si="1468">IF(D380&lt;0,"STOPP!","OK!")</f>
        <v>OK!</v>
      </c>
      <c r="H380" s="407" t="str">
        <f t="shared" ref="H380:H384" si="1469">IF(E380&lt;0,"STOPP!","OK!")</f>
        <v>OK!</v>
      </c>
      <c r="I380" s="407" t="str">
        <f t="shared" ref="I380:I384" si="1470">IF(F380&lt;0,"STOPP!","OK!")</f>
        <v>OK!</v>
      </c>
      <c r="J380" s="407" t="str">
        <f t="shared" ref="J380:J384" si="1471">IF(G380&lt;0,"STOPP!","OK!")</f>
        <v>OK!</v>
      </c>
      <c r="K380" s="407" t="str">
        <f t="shared" ref="K380:K384" si="1472">IF(H380&lt;0,"STOPP!","OK!")</f>
        <v>OK!</v>
      </c>
      <c r="L380" s="407" t="str">
        <f t="shared" ref="L380:L384" si="1473">IF(I380&lt;0,"STOPP!","OK!")</f>
        <v>OK!</v>
      </c>
      <c r="M380" s="407" t="str">
        <f t="shared" ref="M380:M384" si="1474">IF(J380&lt;0,"STOPP!","OK!")</f>
        <v>OK!</v>
      </c>
      <c r="N380" s="407" t="str">
        <f t="shared" ref="N380:N384" si="1475">IF(K380&lt;0,"STOPP!","OK!")</f>
        <v>OK!</v>
      </c>
      <c r="O380" s="407" t="str">
        <f t="shared" ref="O380:O384" si="1476">IF(L380&lt;0,"STOPP!","OK!")</f>
        <v>OK!</v>
      </c>
      <c r="P380" s="407" t="str">
        <f t="shared" ref="P380:P384" si="1477">IF(M380&lt;0,"STOPP!","OK!")</f>
        <v>OK!</v>
      </c>
      <c r="Q380" s="407" t="str">
        <f t="shared" ref="Q380:Q384" si="1478">IF(N380&lt;0,"STOPP!","OK!")</f>
        <v>OK!</v>
      </c>
      <c r="R380" s="407" t="str">
        <f t="shared" ref="R380:R384" si="1479">IF(O380&lt;0,"STOPP!","OK!")</f>
        <v>OK!</v>
      </c>
      <c r="S380" s="407" t="str">
        <f t="shared" ref="S380:S382" si="1480">IF(D380&lt;0,"STOPP!","OK!")</f>
        <v>OK!</v>
      </c>
      <c r="T380" s="407" t="str">
        <f t="shared" ref="T380:T382" si="1481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67"/>
        <v>OK!</v>
      </c>
      <c r="G381" s="407" t="str">
        <f t="shared" si="1468"/>
        <v>OK!</v>
      </c>
      <c r="H381" s="407" t="str">
        <f t="shared" si="1469"/>
        <v>OK!</v>
      </c>
      <c r="I381" s="407" t="str">
        <f t="shared" si="1470"/>
        <v>OK!</v>
      </c>
      <c r="J381" s="407" t="str">
        <f t="shared" si="1471"/>
        <v>OK!</v>
      </c>
      <c r="K381" s="407" t="str">
        <f t="shared" si="1472"/>
        <v>OK!</v>
      </c>
      <c r="L381" s="407" t="str">
        <f t="shared" si="1473"/>
        <v>OK!</v>
      </c>
      <c r="M381" s="407" t="str">
        <f t="shared" si="1474"/>
        <v>OK!</v>
      </c>
      <c r="N381" s="407" t="str">
        <f t="shared" si="1475"/>
        <v>OK!</v>
      </c>
      <c r="O381" s="407" t="str">
        <f t="shared" si="1476"/>
        <v>OK!</v>
      </c>
      <c r="P381" s="407" t="str">
        <f t="shared" si="1477"/>
        <v>OK!</v>
      </c>
      <c r="Q381" s="407" t="str">
        <f t="shared" si="1478"/>
        <v>OK!</v>
      </c>
      <c r="R381" s="407" t="str">
        <f t="shared" si="1479"/>
        <v>OK!</v>
      </c>
      <c r="S381" s="407" t="str">
        <f t="shared" si="1480"/>
        <v>OK!</v>
      </c>
      <c r="T381" s="407" t="str">
        <f t="shared" si="1481"/>
        <v>OK!</v>
      </c>
    </row>
    <row r="382" spans="1:20" hidden="1" x14ac:dyDescent="0.15">
      <c r="A382" s="565" t="str">
        <f>A$10</f>
        <v>Shpenzimet kapitale</v>
      </c>
      <c r="B382" s="566"/>
      <c r="C382" s="563">
        <f>C383-C380-C381</f>
        <v>0</v>
      </c>
      <c r="D382" s="561">
        <f>D383-D380-D381</f>
        <v>0</v>
      </c>
      <c r="E382" s="561">
        <f>E383-E380-E381</f>
        <v>0</v>
      </c>
      <c r="F382" s="407" t="str">
        <f t="shared" si="1467"/>
        <v>OK!</v>
      </c>
      <c r="G382" s="407" t="str">
        <f t="shared" si="1468"/>
        <v>OK!</v>
      </c>
      <c r="H382" s="407" t="str">
        <f t="shared" si="1469"/>
        <v>OK!</v>
      </c>
      <c r="I382" s="407" t="str">
        <f t="shared" si="1470"/>
        <v>OK!</v>
      </c>
      <c r="J382" s="407" t="str">
        <f t="shared" si="1471"/>
        <v>OK!</v>
      </c>
      <c r="K382" s="407" t="str">
        <f t="shared" si="1472"/>
        <v>OK!</v>
      </c>
      <c r="L382" s="407" t="str">
        <f t="shared" si="1473"/>
        <v>OK!</v>
      </c>
      <c r="M382" s="407" t="str">
        <f t="shared" si="1474"/>
        <v>OK!</v>
      </c>
      <c r="N382" s="407" t="str">
        <f t="shared" si="1475"/>
        <v>OK!</v>
      </c>
      <c r="O382" s="407" t="str">
        <f t="shared" si="1476"/>
        <v>OK!</v>
      </c>
      <c r="P382" s="407" t="str">
        <f t="shared" si="1477"/>
        <v>OK!</v>
      </c>
      <c r="Q382" s="407" t="str">
        <f t="shared" si="1478"/>
        <v>OK!</v>
      </c>
      <c r="R382" s="407" t="str">
        <f t="shared" si="1479"/>
        <v>OK!</v>
      </c>
      <c r="S382" s="407" t="str">
        <f t="shared" si="1480"/>
        <v>OK!</v>
      </c>
      <c r="T382" s="407" t="str">
        <f t="shared" si="1481"/>
        <v>OK!</v>
      </c>
    </row>
    <row r="383" spans="1:20" hidden="1" x14ac:dyDescent="0.15">
      <c r="A383" s="555" t="str">
        <f>A$11</f>
        <v>Tavanet e përgjithshme</v>
      </c>
      <c r="B383" s="556"/>
      <c r="C383" s="564"/>
      <c r="D383" s="562"/>
      <c r="E383" s="562"/>
      <c r="F383" s="407" t="str">
        <f>IF(C383&lt;0,"STOPP!","OK!")</f>
        <v>OK!</v>
      </c>
      <c r="G383" s="407" t="str">
        <f t="shared" si="1468"/>
        <v>OK!</v>
      </c>
      <c r="H383" s="407" t="str">
        <f t="shared" si="1469"/>
        <v>OK!</v>
      </c>
      <c r="I383" s="407" t="str">
        <f t="shared" si="1470"/>
        <v>OK!</v>
      </c>
      <c r="J383" s="407" t="str">
        <f t="shared" si="1471"/>
        <v>OK!</v>
      </c>
      <c r="K383" s="407" t="str">
        <f t="shared" si="1472"/>
        <v>OK!</v>
      </c>
      <c r="L383" s="407" t="str">
        <f t="shared" si="1473"/>
        <v>OK!</v>
      </c>
      <c r="M383" s="407" t="str">
        <f t="shared" si="1474"/>
        <v>OK!</v>
      </c>
      <c r="N383" s="407" t="str">
        <f t="shared" si="1475"/>
        <v>OK!</v>
      </c>
      <c r="O383" s="407" t="str">
        <f t="shared" si="1476"/>
        <v>OK!</v>
      </c>
      <c r="P383" s="407" t="str">
        <f t="shared" si="1477"/>
        <v>OK!</v>
      </c>
      <c r="Q383" s="407" t="str">
        <f t="shared" si="1478"/>
        <v>OK!</v>
      </c>
      <c r="R383" s="407" t="str">
        <f t="shared" si="1479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7" t="str">
        <f>A$12</f>
        <v>Angazhimet kujtesë</v>
      </c>
      <c r="B384" s="563"/>
      <c r="C384" s="563">
        <f>'(C5) Angazhimet'!D130</f>
        <v>0</v>
      </c>
      <c r="D384" s="563">
        <f>'(C5) Angazhimet'!E130</f>
        <v>0</v>
      </c>
      <c r="E384" s="563">
        <f>'(C5) Angazhimet'!F130</f>
        <v>0</v>
      </c>
      <c r="F384" s="407" t="str">
        <f>IF(C384&gt;C383,"STOPP!","OK!")</f>
        <v>OK!</v>
      </c>
      <c r="G384" s="407" t="str">
        <f t="shared" si="1468"/>
        <v>OK!</v>
      </c>
      <c r="H384" s="407" t="str">
        <f t="shared" si="1469"/>
        <v>OK!</v>
      </c>
      <c r="I384" s="407" t="str">
        <f t="shared" si="1470"/>
        <v>OK!</v>
      </c>
      <c r="J384" s="407" t="str">
        <f t="shared" si="1471"/>
        <v>OK!</v>
      </c>
      <c r="K384" s="407" t="str">
        <f t="shared" si="1472"/>
        <v>OK!</v>
      </c>
      <c r="L384" s="407" t="str">
        <f t="shared" si="1473"/>
        <v>OK!</v>
      </c>
      <c r="M384" s="407" t="str">
        <f t="shared" si="1474"/>
        <v>OK!</v>
      </c>
      <c r="N384" s="407" t="str">
        <f t="shared" si="1475"/>
        <v>OK!</v>
      </c>
      <c r="O384" s="407" t="str">
        <f t="shared" si="1476"/>
        <v>OK!</v>
      </c>
      <c r="P384" s="407" t="str">
        <f t="shared" si="1477"/>
        <v>OK!</v>
      </c>
      <c r="Q384" s="407" t="str">
        <f t="shared" si="1478"/>
        <v>OK!</v>
      </c>
      <c r="R384" s="407" t="str">
        <f t="shared" si="1479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7" t="str">
        <f>'(B3) Struktura Funksionale'!B116</f>
        <v>09240</v>
      </c>
      <c r="B385" s="891" t="str">
        <f>'(B3) Struktura Funksionale'!C116</f>
        <v>Arsimi profesional</v>
      </c>
      <c r="C385" s="892"/>
      <c r="D385" s="892"/>
      <c r="E385" s="893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>
        <f>20625+3444</f>
        <v>24069</v>
      </c>
      <c r="D386" s="287">
        <f t="shared" ref="D386:E386" si="1482">20625+3444</f>
        <v>24069</v>
      </c>
      <c r="E386" s="287">
        <f t="shared" si="1482"/>
        <v>24069</v>
      </c>
      <c r="F386" s="407" t="str">
        <f t="shared" ref="F386:F388" si="1483">IF(C386&lt;0,"STOPP!","OK!")</f>
        <v>OK!</v>
      </c>
      <c r="G386" s="407" t="str">
        <f t="shared" ref="G386:G390" si="1484">IF(D386&lt;0,"STOPP!","OK!")</f>
        <v>OK!</v>
      </c>
      <c r="H386" s="407" t="str">
        <f t="shared" ref="H386:H390" si="1485">IF(E386&lt;0,"STOPP!","OK!")</f>
        <v>OK!</v>
      </c>
      <c r="I386" s="407" t="str">
        <f t="shared" ref="I386:I390" si="1486">IF(F386&lt;0,"STOPP!","OK!")</f>
        <v>OK!</v>
      </c>
      <c r="J386" s="407" t="str">
        <f t="shared" ref="J386:J390" si="1487">IF(G386&lt;0,"STOPP!","OK!")</f>
        <v>OK!</v>
      </c>
      <c r="K386" s="407" t="str">
        <f t="shared" ref="K386:K390" si="1488">IF(H386&lt;0,"STOPP!","OK!")</f>
        <v>OK!</v>
      </c>
      <c r="L386" s="407" t="str">
        <f t="shared" ref="L386:L390" si="1489">IF(I386&lt;0,"STOPP!","OK!")</f>
        <v>OK!</v>
      </c>
      <c r="M386" s="407" t="str">
        <f t="shared" ref="M386:M390" si="1490">IF(J386&lt;0,"STOPP!","OK!")</f>
        <v>OK!</v>
      </c>
      <c r="N386" s="407" t="str">
        <f t="shared" ref="N386:N390" si="1491">IF(K386&lt;0,"STOPP!","OK!")</f>
        <v>OK!</v>
      </c>
      <c r="O386" s="407" t="str">
        <f t="shared" ref="O386:O390" si="1492">IF(L386&lt;0,"STOPP!","OK!")</f>
        <v>OK!</v>
      </c>
      <c r="P386" s="407" t="str">
        <f t="shared" ref="P386:P390" si="1493">IF(M386&lt;0,"STOPP!","OK!")</f>
        <v>OK!</v>
      </c>
      <c r="Q386" s="407" t="str">
        <f t="shared" ref="Q386:Q390" si="1494">IF(N386&lt;0,"STOPP!","OK!")</f>
        <v>OK!</v>
      </c>
      <c r="R386" s="407" t="str">
        <f t="shared" ref="R386:R390" si="1495">IF(O386&lt;0,"STOPP!","OK!")</f>
        <v>OK!</v>
      </c>
      <c r="S386" s="407" t="str">
        <f t="shared" ref="S386:S388" si="1496">IF(D386&lt;0,"STOPP!","OK!")</f>
        <v>OK!</v>
      </c>
      <c r="T386" s="407" t="str">
        <f t="shared" ref="T386:T388" si="1497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>
        <v>9967</v>
      </c>
      <c r="D387" s="288">
        <v>9967</v>
      </c>
      <c r="E387" s="288">
        <v>9967</v>
      </c>
      <c r="F387" s="407" t="str">
        <f t="shared" si="1483"/>
        <v>OK!</v>
      </c>
      <c r="G387" s="407" t="str">
        <f t="shared" si="1484"/>
        <v>OK!</v>
      </c>
      <c r="H387" s="407" t="str">
        <f t="shared" si="1485"/>
        <v>OK!</v>
      </c>
      <c r="I387" s="407" t="str">
        <f t="shared" si="1486"/>
        <v>OK!</v>
      </c>
      <c r="J387" s="407" t="str">
        <f t="shared" si="1487"/>
        <v>OK!</v>
      </c>
      <c r="K387" s="407" t="str">
        <f t="shared" si="1488"/>
        <v>OK!</v>
      </c>
      <c r="L387" s="407" t="str">
        <f t="shared" si="1489"/>
        <v>OK!</v>
      </c>
      <c r="M387" s="407" t="str">
        <f t="shared" si="1490"/>
        <v>OK!</v>
      </c>
      <c r="N387" s="407" t="str">
        <f t="shared" si="1491"/>
        <v>OK!</v>
      </c>
      <c r="O387" s="407" t="str">
        <f t="shared" si="1492"/>
        <v>OK!</v>
      </c>
      <c r="P387" s="407" t="str">
        <f t="shared" si="1493"/>
        <v>OK!</v>
      </c>
      <c r="Q387" s="407" t="str">
        <f t="shared" si="1494"/>
        <v>OK!</v>
      </c>
      <c r="R387" s="407" t="str">
        <f t="shared" si="1495"/>
        <v>OK!</v>
      </c>
      <c r="S387" s="407" t="str">
        <f t="shared" si="1496"/>
        <v>OK!</v>
      </c>
      <c r="T387" s="407" t="str">
        <f t="shared" si="1497"/>
        <v>OK!</v>
      </c>
    </row>
    <row r="388" spans="1:20" x14ac:dyDescent="0.15">
      <c r="A388" s="565" t="str">
        <f>A$10</f>
        <v>Shpenzimet kapitale</v>
      </c>
      <c r="B388" s="566"/>
      <c r="C388" s="563">
        <f>C389-C386-C387</f>
        <v>0</v>
      </c>
      <c r="D388" s="561">
        <f>D389-D386-D387</f>
        <v>0</v>
      </c>
      <c r="E388" s="561">
        <f>E389-E386-E387</f>
        <v>0</v>
      </c>
      <c r="F388" s="407" t="str">
        <f t="shared" si="1483"/>
        <v>OK!</v>
      </c>
      <c r="G388" s="407" t="str">
        <f t="shared" si="1484"/>
        <v>OK!</v>
      </c>
      <c r="H388" s="407" t="str">
        <f t="shared" si="1485"/>
        <v>OK!</v>
      </c>
      <c r="I388" s="407" t="str">
        <f t="shared" si="1486"/>
        <v>OK!</v>
      </c>
      <c r="J388" s="407" t="str">
        <f t="shared" si="1487"/>
        <v>OK!</v>
      </c>
      <c r="K388" s="407" t="str">
        <f t="shared" si="1488"/>
        <v>OK!</v>
      </c>
      <c r="L388" s="407" t="str">
        <f t="shared" si="1489"/>
        <v>OK!</v>
      </c>
      <c r="M388" s="407" t="str">
        <f t="shared" si="1490"/>
        <v>OK!</v>
      </c>
      <c r="N388" s="407" t="str">
        <f t="shared" si="1491"/>
        <v>OK!</v>
      </c>
      <c r="O388" s="407" t="str">
        <f t="shared" si="1492"/>
        <v>OK!</v>
      </c>
      <c r="P388" s="407" t="str">
        <f t="shared" si="1493"/>
        <v>OK!</v>
      </c>
      <c r="Q388" s="407" t="str">
        <f t="shared" si="1494"/>
        <v>OK!</v>
      </c>
      <c r="R388" s="407" t="str">
        <f t="shared" si="1495"/>
        <v>OK!</v>
      </c>
      <c r="S388" s="407" t="str">
        <f t="shared" si="1496"/>
        <v>OK!</v>
      </c>
      <c r="T388" s="407" t="str">
        <f t="shared" si="1497"/>
        <v>OK!</v>
      </c>
    </row>
    <row r="389" spans="1:20" x14ac:dyDescent="0.15">
      <c r="A389" s="555" t="str">
        <f>A$11</f>
        <v>Tavanet e përgjithshme</v>
      </c>
      <c r="B389" s="556"/>
      <c r="C389" s="564">
        <f>33836+200</f>
        <v>34036</v>
      </c>
      <c r="D389" s="564">
        <f t="shared" ref="D389:E389" si="1498">33836+200</f>
        <v>34036</v>
      </c>
      <c r="E389" s="564">
        <f t="shared" si="1498"/>
        <v>34036</v>
      </c>
      <c r="F389" s="407" t="str">
        <f>IF(C389&lt;0,"STOPP!","OK!")</f>
        <v>OK!</v>
      </c>
      <c r="G389" s="407" t="str">
        <f t="shared" si="1484"/>
        <v>OK!</v>
      </c>
      <c r="H389" s="407" t="str">
        <f t="shared" si="1485"/>
        <v>OK!</v>
      </c>
      <c r="I389" s="407" t="str">
        <f t="shared" si="1486"/>
        <v>OK!</v>
      </c>
      <c r="J389" s="407" t="str">
        <f t="shared" si="1487"/>
        <v>OK!</v>
      </c>
      <c r="K389" s="407" t="str">
        <f t="shared" si="1488"/>
        <v>OK!</v>
      </c>
      <c r="L389" s="407" t="str">
        <f t="shared" si="1489"/>
        <v>OK!</v>
      </c>
      <c r="M389" s="407" t="str">
        <f t="shared" si="1490"/>
        <v>OK!</v>
      </c>
      <c r="N389" s="407" t="str">
        <f t="shared" si="1491"/>
        <v>OK!</v>
      </c>
      <c r="O389" s="407" t="str">
        <f t="shared" si="1492"/>
        <v>OK!</v>
      </c>
      <c r="P389" s="407" t="str">
        <f t="shared" si="1493"/>
        <v>OK!</v>
      </c>
      <c r="Q389" s="407" t="str">
        <f t="shared" si="1494"/>
        <v>OK!</v>
      </c>
      <c r="R389" s="407" t="str">
        <f t="shared" si="1495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7" t="str">
        <f>A$12</f>
        <v>Angazhimet kujtesë</v>
      </c>
      <c r="B390" s="563"/>
      <c r="C390" s="563">
        <f>'(C5) Angazhimet'!D131</f>
        <v>0</v>
      </c>
      <c r="D390" s="563">
        <f>'(C5) Angazhimet'!E131</f>
        <v>0</v>
      </c>
      <c r="E390" s="563">
        <f>'(C5) Angazhimet'!F131</f>
        <v>0</v>
      </c>
      <c r="F390" s="407" t="str">
        <f>IF(C390&gt;C389,"STOPP!","OK!")</f>
        <v>OK!</v>
      </c>
      <c r="G390" s="407" t="str">
        <f t="shared" si="1484"/>
        <v>OK!</v>
      </c>
      <c r="H390" s="407" t="str">
        <f t="shared" si="1485"/>
        <v>OK!</v>
      </c>
      <c r="I390" s="407" t="str">
        <f t="shared" si="1486"/>
        <v>OK!</v>
      </c>
      <c r="J390" s="407" t="str">
        <f t="shared" si="1487"/>
        <v>OK!</v>
      </c>
      <c r="K390" s="407" t="str">
        <f t="shared" si="1488"/>
        <v>OK!</v>
      </c>
      <c r="L390" s="407" t="str">
        <f t="shared" si="1489"/>
        <v>OK!</v>
      </c>
      <c r="M390" s="407" t="str">
        <f t="shared" si="1490"/>
        <v>OK!</v>
      </c>
      <c r="N390" s="407" t="str">
        <f t="shared" si="1491"/>
        <v>OK!</v>
      </c>
      <c r="O390" s="407" t="str">
        <f t="shared" si="1492"/>
        <v>OK!</v>
      </c>
      <c r="P390" s="407" t="str">
        <f t="shared" si="1493"/>
        <v>OK!</v>
      </c>
      <c r="Q390" s="407" t="str">
        <f t="shared" si="1494"/>
        <v>OK!</v>
      </c>
      <c r="R390" s="407" t="str">
        <f t="shared" si="1495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6" t="e">
        <f>'(B2) Struktura Organizative'!#REF!</f>
        <v>#REF!</v>
      </c>
      <c r="B391" s="894" t="e">
        <f>'(B2) Struktura Organizative'!#REF!</f>
        <v>#REF!</v>
      </c>
      <c r="C391" s="895"/>
      <c r="D391" s="895"/>
      <c r="E391" s="896"/>
      <c r="G391" s="312">
        <f>C395</f>
        <v>0</v>
      </c>
      <c r="H391" s="312">
        <f t="shared" ref="H391" si="1499">D395</f>
        <v>0</v>
      </c>
      <c r="I391" s="312">
        <f t="shared" ref="I391" si="1500">E395</f>
        <v>0</v>
      </c>
      <c r="J391" s="312">
        <f>C392</f>
        <v>0</v>
      </c>
      <c r="K391" s="312">
        <f t="shared" ref="K391" si="1501">D392</f>
        <v>0</v>
      </c>
      <c r="L391" s="312">
        <f t="shared" ref="L391" si="1502">E392</f>
        <v>0</v>
      </c>
      <c r="M391" s="312">
        <f>C393</f>
        <v>0</v>
      </c>
      <c r="N391" s="312">
        <f t="shared" ref="N391" si="1503">D393</f>
        <v>0</v>
      </c>
      <c r="O391" s="312">
        <f t="shared" ref="O391" si="1504">E393</f>
        <v>0</v>
      </c>
      <c r="P391" s="312">
        <f>C394</f>
        <v>0</v>
      </c>
      <c r="Q391" s="312">
        <f t="shared" ref="Q391" si="1505">D394</f>
        <v>0</v>
      </c>
      <c r="R391" s="312">
        <f t="shared" ref="R391" si="1506">E394</f>
        <v>0</v>
      </c>
    </row>
    <row r="392" spans="1:20" hidden="1" x14ac:dyDescent="0.15">
      <c r="A392" s="286" t="str">
        <f>A$8</f>
        <v>Pagat dhe sigurimet shoqërore</v>
      </c>
      <c r="B392" s="286"/>
      <c r="C392" s="563">
        <f>C398</f>
        <v>0</v>
      </c>
      <c r="D392" s="563">
        <f t="shared" ref="D392:E392" si="1507">D398</f>
        <v>0</v>
      </c>
      <c r="E392" s="563">
        <f t="shared" si="1507"/>
        <v>0</v>
      </c>
      <c r="F392" s="407" t="str">
        <f t="shared" ref="F392:F394" si="1508">IF(C392&lt;0,"STOPP!","OK!")</f>
        <v>OK!</v>
      </c>
      <c r="G392" s="407" t="str">
        <f t="shared" ref="G392:G394" si="1509">IF(D392&lt;0,"STOPP!","OK!")</f>
        <v>OK!</v>
      </c>
      <c r="H392" s="407" t="str">
        <f t="shared" ref="H392:H394" si="1510">IF(E392&lt;0,"STOPP!","OK!")</f>
        <v>OK!</v>
      </c>
      <c r="I392" s="407" t="str">
        <f t="shared" ref="I392:I394" si="1511">IF(F392&lt;0,"STOPP!","OK!")</f>
        <v>OK!</v>
      </c>
      <c r="J392" s="407" t="str">
        <f t="shared" ref="J392:J394" si="1512">IF(G392&lt;0,"STOPP!","OK!")</f>
        <v>OK!</v>
      </c>
      <c r="K392" s="407" t="str">
        <f t="shared" ref="K392:K394" si="1513">IF(H392&lt;0,"STOPP!","OK!")</f>
        <v>OK!</v>
      </c>
      <c r="L392" s="407" t="str">
        <f t="shared" ref="L392:L394" si="1514">IF(I392&lt;0,"STOPP!","OK!")</f>
        <v>OK!</v>
      </c>
      <c r="M392" s="407" t="str">
        <f t="shared" ref="M392:M394" si="1515">IF(J392&lt;0,"STOPP!","OK!")</f>
        <v>OK!</v>
      </c>
      <c r="N392" s="407" t="str">
        <f t="shared" ref="N392:N394" si="1516">IF(K392&lt;0,"STOPP!","OK!")</f>
        <v>OK!</v>
      </c>
      <c r="O392" s="407" t="str">
        <f t="shared" ref="O392:O394" si="1517">IF(L392&lt;0,"STOPP!","OK!")</f>
        <v>OK!</v>
      </c>
      <c r="P392" s="407" t="str">
        <f t="shared" ref="P392:P394" si="1518">IF(M392&lt;0,"STOPP!","OK!")</f>
        <v>OK!</v>
      </c>
      <c r="Q392" s="407" t="str">
        <f t="shared" ref="Q392:Q394" si="1519">IF(N392&lt;0,"STOPP!","OK!")</f>
        <v>OK!</v>
      </c>
      <c r="R392" s="407" t="str">
        <f t="shared" ref="R392:R394" si="1520">IF(O392&lt;0,"STOPP!","OK!")</f>
        <v>OK!</v>
      </c>
      <c r="S392" s="407" t="str">
        <f t="shared" ref="S392:S394" si="1521">IF(D392&lt;0,"STOPP!","OK!")</f>
        <v>OK!</v>
      </c>
      <c r="T392" s="407" t="str">
        <f t="shared" ref="T392:T394" si="1522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3">
        <f>C399</f>
        <v>0</v>
      </c>
      <c r="D393" s="563">
        <f t="shared" ref="D393:E393" si="1523">D399</f>
        <v>0</v>
      </c>
      <c r="E393" s="563">
        <f t="shared" si="1523"/>
        <v>0</v>
      </c>
      <c r="F393" s="407" t="str">
        <f t="shared" si="1508"/>
        <v>OK!</v>
      </c>
      <c r="G393" s="407" t="str">
        <f t="shared" si="1509"/>
        <v>OK!</v>
      </c>
      <c r="H393" s="407" t="str">
        <f t="shared" si="1510"/>
        <v>OK!</v>
      </c>
      <c r="I393" s="407" t="str">
        <f t="shared" si="1511"/>
        <v>OK!</v>
      </c>
      <c r="J393" s="407" t="str">
        <f t="shared" si="1512"/>
        <v>OK!</v>
      </c>
      <c r="K393" s="407" t="str">
        <f t="shared" si="1513"/>
        <v>OK!</v>
      </c>
      <c r="L393" s="407" t="str">
        <f t="shared" si="1514"/>
        <v>OK!</v>
      </c>
      <c r="M393" s="407" t="str">
        <f t="shared" si="1515"/>
        <v>OK!</v>
      </c>
      <c r="N393" s="407" t="str">
        <f t="shared" si="1516"/>
        <v>OK!</v>
      </c>
      <c r="O393" s="407" t="str">
        <f t="shared" si="1517"/>
        <v>OK!</v>
      </c>
      <c r="P393" s="407" t="str">
        <f t="shared" si="1518"/>
        <v>OK!</v>
      </c>
      <c r="Q393" s="407" t="str">
        <f t="shared" si="1519"/>
        <v>OK!</v>
      </c>
      <c r="R393" s="407" t="str">
        <f t="shared" si="1520"/>
        <v>OK!</v>
      </c>
      <c r="S393" s="407" t="str">
        <f t="shared" si="1521"/>
        <v>OK!</v>
      </c>
      <c r="T393" s="407" t="str">
        <f t="shared" si="1522"/>
        <v>OK!</v>
      </c>
    </row>
    <row r="394" spans="1:20" hidden="1" x14ac:dyDescent="0.15">
      <c r="A394" s="565" t="str">
        <f>A$10</f>
        <v>Shpenzimet kapitale</v>
      </c>
      <c r="B394" s="566"/>
      <c r="C394" s="563">
        <f>C395-C392-C393</f>
        <v>0</v>
      </c>
      <c r="D394" s="561">
        <f>D395-D392-D393</f>
        <v>0</v>
      </c>
      <c r="E394" s="561">
        <f>E395-E392-E393</f>
        <v>0</v>
      </c>
      <c r="F394" s="407" t="str">
        <f t="shared" si="1508"/>
        <v>OK!</v>
      </c>
      <c r="G394" s="407" t="str">
        <f t="shared" si="1509"/>
        <v>OK!</v>
      </c>
      <c r="H394" s="407" t="str">
        <f t="shared" si="1510"/>
        <v>OK!</v>
      </c>
      <c r="I394" s="407" t="str">
        <f t="shared" si="1511"/>
        <v>OK!</v>
      </c>
      <c r="J394" s="407" t="str">
        <f t="shared" si="1512"/>
        <v>OK!</v>
      </c>
      <c r="K394" s="407" t="str">
        <f t="shared" si="1513"/>
        <v>OK!</v>
      </c>
      <c r="L394" s="407" t="str">
        <f t="shared" si="1514"/>
        <v>OK!</v>
      </c>
      <c r="M394" s="407" t="str">
        <f t="shared" si="1515"/>
        <v>OK!</v>
      </c>
      <c r="N394" s="407" t="str">
        <f t="shared" si="1516"/>
        <v>OK!</v>
      </c>
      <c r="O394" s="407" t="str">
        <f t="shared" si="1517"/>
        <v>OK!</v>
      </c>
      <c r="P394" s="407" t="str">
        <f t="shared" si="1518"/>
        <v>OK!</v>
      </c>
      <c r="Q394" s="407" t="str">
        <f t="shared" si="1519"/>
        <v>OK!</v>
      </c>
      <c r="R394" s="407" t="str">
        <f t="shared" si="1520"/>
        <v>OK!</v>
      </c>
      <c r="S394" s="407" t="str">
        <f t="shared" si="1521"/>
        <v>OK!</v>
      </c>
      <c r="T394" s="407" t="str">
        <f t="shared" si="1522"/>
        <v>OK!</v>
      </c>
    </row>
    <row r="395" spans="1:20" hidden="1" x14ac:dyDescent="0.15">
      <c r="A395" s="555" t="str">
        <f>A$11</f>
        <v>Tavanet e përgjithshme</v>
      </c>
      <c r="B395" s="556"/>
      <c r="C395" s="563">
        <f>C401</f>
        <v>0</v>
      </c>
      <c r="D395" s="563">
        <f t="shared" ref="D395:E395" si="1524">D401</f>
        <v>0</v>
      </c>
      <c r="E395" s="563">
        <f t="shared" si="1524"/>
        <v>0</v>
      </c>
      <c r="F395" s="407" t="str">
        <f>IF(C395&lt;0,"STOPP!","OK!")</f>
        <v>OK!</v>
      </c>
      <c r="G395" s="407" t="str">
        <f t="shared" ref="G395:G396" si="1525">IF(D395&lt;0,"STOPP!","OK!")</f>
        <v>OK!</v>
      </c>
      <c r="H395" s="407" t="str">
        <f t="shared" ref="H395:H396" si="1526">IF(E395&lt;0,"STOPP!","OK!")</f>
        <v>OK!</v>
      </c>
      <c r="I395" s="407" t="str">
        <f t="shared" ref="I395:I396" si="1527">IF(F395&lt;0,"STOPP!","OK!")</f>
        <v>OK!</v>
      </c>
      <c r="J395" s="407" t="str">
        <f t="shared" ref="J395:J396" si="1528">IF(G395&lt;0,"STOPP!","OK!")</f>
        <v>OK!</v>
      </c>
      <c r="K395" s="407" t="str">
        <f t="shared" ref="K395:K396" si="1529">IF(H395&lt;0,"STOPP!","OK!")</f>
        <v>OK!</v>
      </c>
      <c r="L395" s="407" t="str">
        <f t="shared" ref="L395:L396" si="1530">IF(I395&lt;0,"STOPP!","OK!")</f>
        <v>OK!</v>
      </c>
      <c r="M395" s="407" t="str">
        <f t="shared" ref="M395:M396" si="1531">IF(J395&lt;0,"STOPP!","OK!")</f>
        <v>OK!</v>
      </c>
      <c r="N395" s="407" t="str">
        <f t="shared" ref="N395:N396" si="1532">IF(K395&lt;0,"STOPP!","OK!")</f>
        <v>OK!</v>
      </c>
      <c r="O395" s="407" t="str">
        <f t="shared" ref="O395:O396" si="1533">IF(L395&lt;0,"STOPP!","OK!")</f>
        <v>OK!</v>
      </c>
      <c r="P395" s="407" t="str">
        <f t="shared" ref="P395:P396" si="1534">IF(M395&lt;0,"STOPP!","OK!")</f>
        <v>OK!</v>
      </c>
      <c r="Q395" s="407" t="str">
        <f t="shared" ref="Q395:Q396" si="1535">IF(N395&lt;0,"STOPP!","OK!")</f>
        <v>OK!</v>
      </c>
      <c r="R395" s="407" t="str">
        <f t="shared" ref="R395:R396" si="1536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7" t="str">
        <f>A$12</f>
        <v>Angazhimet kujtesë</v>
      </c>
      <c r="B396" s="563"/>
      <c r="C396" s="563">
        <f>'(C5) Angazhimet'!D138</f>
        <v>0</v>
      </c>
      <c r="D396" s="561">
        <f>'(C5) Angazhimet'!E138</f>
        <v>0</v>
      </c>
      <c r="E396" s="561">
        <f>'(C5) Angazhimet'!F138</f>
        <v>0</v>
      </c>
      <c r="F396" s="407" t="str">
        <f>IF(C396&gt;C395,"STOPP!","OK!")</f>
        <v>OK!</v>
      </c>
      <c r="G396" s="407" t="str">
        <f t="shared" si="1525"/>
        <v>OK!</v>
      </c>
      <c r="H396" s="407" t="str">
        <f t="shared" si="1526"/>
        <v>OK!</v>
      </c>
      <c r="I396" s="407" t="str">
        <f t="shared" si="1527"/>
        <v>OK!</v>
      </c>
      <c r="J396" s="407" t="str">
        <f t="shared" si="1528"/>
        <v>OK!</v>
      </c>
      <c r="K396" s="407" t="str">
        <f t="shared" si="1529"/>
        <v>OK!</v>
      </c>
      <c r="L396" s="407" t="str">
        <f t="shared" si="1530"/>
        <v>OK!</v>
      </c>
      <c r="M396" s="407" t="str">
        <f t="shared" si="1531"/>
        <v>OK!</v>
      </c>
      <c r="N396" s="407" t="str">
        <f t="shared" si="1532"/>
        <v>OK!</v>
      </c>
      <c r="O396" s="407" t="str">
        <f t="shared" si="1533"/>
        <v>OK!</v>
      </c>
      <c r="P396" s="407" t="str">
        <f t="shared" si="1534"/>
        <v>OK!</v>
      </c>
      <c r="Q396" s="407" t="str">
        <f t="shared" si="1535"/>
        <v>OK!</v>
      </c>
      <c r="R396" s="407" t="str">
        <f t="shared" si="1536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7" t="str">
        <f>'(B3) Struktura Funksionale'!B119</f>
        <v>09660</v>
      </c>
      <c r="B397" s="891" t="str">
        <f>'(B3) Struktura Funksionale'!C119</f>
        <v xml:space="preserve">Programe arsimore për trajnimin e mësuesve dhe edukatorëve </v>
      </c>
      <c r="C397" s="892"/>
      <c r="D397" s="892"/>
      <c r="E397" s="893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37">IF(C398&lt;0,"STOPP!","OK!")</f>
        <v>OK!</v>
      </c>
      <c r="G398" s="407" t="str">
        <f t="shared" ref="G398:G402" si="1538">IF(D398&lt;0,"STOPP!","OK!")</f>
        <v>OK!</v>
      </c>
      <c r="H398" s="407" t="str">
        <f t="shared" ref="H398:H402" si="1539">IF(E398&lt;0,"STOPP!","OK!")</f>
        <v>OK!</v>
      </c>
      <c r="I398" s="407" t="str">
        <f t="shared" ref="I398:I402" si="1540">IF(F398&lt;0,"STOPP!","OK!")</f>
        <v>OK!</v>
      </c>
      <c r="J398" s="407" t="str">
        <f t="shared" ref="J398:J402" si="1541">IF(G398&lt;0,"STOPP!","OK!")</f>
        <v>OK!</v>
      </c>
      <c r="K398" s="407" t="str">
        <f t="shared" ref="K398:K402" si="1542">IF(H398&lt;0,"STOPP!","OK!")</f>
        <v>OK!</v>
      </c>
      <c r="L398" s="407" t="str">
        <f t="shared" ref="L398:L402" si="1543">IF(I398&lt;0,"STOPP!","OK!")</f>
        <v>OK!</v>
      </c>
      <c r="M398" s="407" t="str">
        <f t="shared" ref="M398:M402" si="1544">IF(J398&lt;0,"STOPP!","OK!")</f>
        <v>OK!</v>
      </c>
      <c r="N398" s="407" t="str">
        <f t="shared" ref="N398:N402" si="1545">IF(K398&lt;0,"STOPP!","OK!")</f>
        <v>OK!</v>
      </c>
      <c r="O398" s="407" t="str">
        <f t="shared" ref="O398:O402" si="1546">IF(L398&lt;0,"STOPP!","OK!")</f>
        <v>OK!</v>
      </c>
      <c r="P398" s="407" t="str">
        <f t="shared" ref="P398:P402" si="1547">IF(M398&lt;0,"STOPP!","OK!")</f>
        <v>OK!</v>
      </c>
      <c r="Q398" s="407" t="str">
        <f t="shared" ref="Q398:Q402" si="1548">IF(N398&lt;0,"STOPP!","OK!")</f>
        <v>OK!</v>
      </c>
      <c r="R398" s="407" t="str">
        <f t="shared" ref="R398:R402" si="1549">IF(O398&lt;0,"STOPP!","OK!")</f>
        <v>OK!</v>
      </c>
      <c r="S398" s="407" t="str">
        <f t="shared" ref="S398:S400" si="1550">IF(D398&lt;0,"STOPP!","OK!")</f>
        <v>OK!</v>
      </c>
      <c r="T398" s="407" t="str">
        <f t="shared" ref="T398:T400" si="1551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37"/>
        <v>OK!</v>
      </c>
      <c r="G399" s="407" t="str">
        <f t="shared" si="1538"/>
        <v>OK!</v>
      </c>
      <c r="H399" s="407" t="str">
        <f t="shared" si="1539"/>
        <v>OK!</v>
      </c>
      <c r="I399" s="407" t="str">
        <f t="shared" si="1540"/>
        <v>OK!</v>
      </c>
      <c r="J399" s="407" t="str">
        <f t="shared" si="1541"/>
        <v>OK!</v>
      </c>
      <c r="K399" s="407" t="str">
        <f t="shared" si="1542"/>
        <v>OK!</v>
      </c>
      <c r="L399" s="407" t="str">
        <f t="shared" si="1543"/>
        <v>OK!</v>
      </c>
      <c r="M399" s="407" t="str">
        <f t="shared" si="1544"/>
        <v>OK!</v>
      </c>
      <c r="N399" s="407" t="str">
        <f t="shared" si="1545"/>
        <v>OK!</v>
      </c>
      <c r="O399" s="407" t="str">
        <f t="shared" si="1546"/>
        <v>OK!</v>
      </c>
      <c r="P399" s="407" t="str">
        <f t="shared" si="1547"/>
        <v>OK!</v>
      </c>
      <c r="Q399" s="407" t="str">
        <f t="shared" si="1548"/>
        <v>OK!</v>
      </c>
      <c r="R399" s="407" t="str">
        <f t="shared" si="1549"/>
        <v>OK!</v>
      </c>
      <c r="S399" s="407" t="str">
        <f t="shared" si="1550"/>
        <v>OK!</v>
      </c>
      <c r="T399" s="407" t="str">
        <f t="shared" si="1551"/>
        <v>OK!</v>
      </c>
    </row>
    <row r="400" spans="1:20" hidden="1" x14ac:dyDescent="0.15">
      <c r="A400" s="565" t="str">
        <f>A$10</f>
        <v>Shpenzimet kapitale</v>
      </c>
      <c r="B400" s="566"/>
      <c r="C400" s="563">
        <f>C401-C398-C399</f>
        <v>0</v>
      </c>
      <c r="D400" s="561">
        <f>D401-D398-D399</f>
        <v>0</v>
      </c>
      <c r="E400" s="561">
        <f>E401-E398-E399</f>
        <v>0</v>
      </c>
      <c r="F400" s="407" t="str">
        <f t="shared" si="1537"/>
        <v>OK!</v>
      </c>
      <c r="G400" s="407" t="str">
        <f t="shared" si="1538"/>
        <v>OK!</v>
      </c>
      <c r="H400" s="407" t="str">
        <f t="shared" si="1539"/>
        <v>OK!</v>
      </c>
      <c r="I400" s="407" t="str">
        <f t="shared" si="1540"/>
        <v>OK!</v>
      </c>
      <c r="J400" s="407" t="str">
        <f t="shared" si="1541"/>
        <v>OK!</v>
      </c>
      <c r="K400" s="407" t="str">
        <f t="shared" si="1542"/>
        <v>OK!</v>
      </c>
      <c r="L400" s="407" t="str">
        <f t="shared" si="1543"/>
        <v>OK!</v>
      </c>
      <c r="M400" s="407" t="str">
        <f t="shared" si="1544"/>
        <v>OK!</v>
      </c>
      <c r="N400" s="407" t="str">
        <f t="shared" si="1545"/>
        <v>OK!</v>
      </c>
      <c r="O400" s="407" t="str">
        <f t="shared" si="1546"/>
        <v>OK!</v>
      </c>
      <c r="P400" s="407" t="str">
        <f t="shared" si="1547"/>
        <v>OK!</v>
      </c>
      <c r="Q400" s="407" t="str">
        <f t="shared" si="1548"/>
        <v>OK!</v>
      </c>
      <c r="R400" s="407" t="str">
        <f t="shared" si="1549"/>
        <v>OK!</v>
      </c>
      <c r="S400" s="407" t="str">
        <f t="shared" si="1550"/>
        <v>OK!</v>
      </c>
      <c r="T400" s="407" t="str">
        <f t="shared" si="1551"/>
        <v>OK!</v>
      </c>
    </row>
    <row r="401" spans="1:20" hidden="1" x14ac:dyDescent="0.15">
      <c r="A401" s="555" t="str">
        <f>A$11</f>
        <v>Tavanet e përgjithshme</v>
      </c>
      <c r="B401" s="556"/>
      <c r="C401" s="564"/>
      <c r="D401" s="562"/>
      <c r="E401" s="562"/>
      <c r="F401" s="407" t="str">
        <f>IF(C401&lt;0,"STOPP!","OK!")</f>
        <v>OK!</v>
      </c>
      <c r="G401" s="407" t="str">
        <f t="shared" si="1538"/>
        <v>OK!</v>
      </c>
      <c r="H401" s="407" t="str">
        <f t="shared" si="1539"/>
        <v>OK!</v>
      </c>
      <c r="I401" s="407" t="str">
        <f t="shared" si="1540"/>
        <v>OK!</v>
      </c>
      <c r="J401" s="407" t="str">
        <f t="shared" si="1541"/>
        <v>OK!</v>
      </c>
      <c r="K401" s="407" t="str">
        <f t="shared" si="1542"/>
        <v>OK!</v>
      </c>
      <c r="L401" s="407" t="str">
        <f t="shared" si="1543"/>
        <v>OK!</v>
      </c>
      <c r="M401" s="407" t="str">
        <f t="shared" si="1544"/>
        <v>OK!</v>
      </c>
      <c r="N401" s="407" t="str">
        <f t="shared" si="1545"/>
        <v>OK!</v>
      </c>
      <c r="O401" s="407" t="str">
        <f t="shared" si="1546"/>
        <v>OK!</v>
      </c>
      <c r="P401" s="407" t="str">
        <f t="shared" si="1547"/>
        <v>OK!</v>
      </c>
      <c r="Q401" s="407" t="str">
        <f t="shared" si="1548"/>
        <v>OK!</v>
      </c>
      <c r="R401" s="407" t="str">
        <f t="shared" si="1549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7" t="str">
        <f>A$12</f>
        <v>Angazhimet kujtesë</v>
      </c>
      <c r="B402" s="563"/>
      <c r="C402" s="563">
        <f>'(C5) Angazhimet'!D135</f>
        <v>0</v>
      </c>
      <c r="D402" s="563">
        <f>'(C5) Angazhimet'!E135</f>
        <v>0</v>
      </c>
      <c r="E402" s="563">
        <f>'(C5) Angazhimet'!F135</f>
        <v>0</v>
      </c>
      <c r="F402" s="407" t="str">
        <f>IF(C402&gt;C401,"STOPP!","OK!")</f>
        <v>OK!</v>
      </c>
      <c r="G402" s="407" t="str">
        <f t="shared" si="1538"/>
        <v>OK!</v>
      </c>
      <c r="H402" s="407" t="str">
        <f t="shared" si="1539"/>
        <v>OK!</v>
      </c>
      <c r="I402" s="407" t="str">
        <f t="shared" si="1540"/>
        <v>OK!</v>
      </c>
      <c r="J402" s="407" t="str">
        <f t="shared" si="1541"/>
        <v>OK!</v>
      </c>
      <c r="K402" s="407" t="str">
        <f t="shared" si="1542"/>
        <v>OK!</v>
      </c>
      <c r="L402" s="407" t="str">
        <f t="shared" si="1543"/>
        <v>OK!</v>
      </c>
      <c r="M402" s="407" t="str">
        <f t="shared" si="1544"/>
        <v>OK!</v>
      </c>
      <c r="N402" s="407" t="str">
        <f t="shared" si="1545"/>
        <v>OK!</v>
      </c>
      <c r="O402" s="407" t="str">
        <f t="shared" si="1546"/>
        <v>OK!</v>
      </c>
      <c r="P402" s="407" t="str">
        <f t="shared" si="1547"/>
        <v>OK!</v>
      </c>
      <c r="Q402" s="407" t="str">
        <f t="shared" si="1548"/>
        <v>OK!</v>
      </c>
      <c r="R402" s="407" t="str">
        <f t="shared" si="1549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6" t="str">
        <f>'(B2) Struktura Organizative'!A60</f>
        <v>Nënfunksioni 23</v>
      </c>
      <c r="B403" s="894" t="str">
        <f>'(B2) Struktura Organizative'!B60</f>
        <v>101 Sëmundje dhe paaftësi</v>
      </c>
      <c r="C403" s="895"/>
      <c r="D403" s="895"/>
      <c r="E403" s="896"/>
      <c r="G403" s="312">
        <f>C407</f>
        <v>340244</v>
      </c>
      <c r="H403" s="312">
        <f t="shared" ref="H403" si="1552">D407</f>
        <v>343244</v>
      </c>
      <c r="I403" s="312">
        <f t="shared" ref="I403" si="1553">E407</f>
        <v>340244</v>
      </c>
      <c r="J403" s="312">
        <f>C404</f>
        <v>1940</v>
      </c>
      <c r="K403" s="312">
        <f t="shared" ref="K403" si="1554">D404</f>
        <v>1940</v>
      </c>
      <c r="L403" s="312">
        <f t="shared" ref="L403" si="1555">E404</f>
        <v>1940</v>
      </c>
      <c r="M403" s="312">
        <f>C405</f>
        <v>338304</v>
      </c>
      <c r="N403" s="312">
        <f t="shared" ref="N403" si="1556">D405</f>
        <v>341304</v>
      </c>
      <c r="O403" s="312">
        <f t="shared" ref="O403" si="1557">E405</f>
        <v>338304</v>
      </c>
      <c r="P403" s="312">
        <f>C406</f>
        <v>0</v>
      </c>
      <c r="Q403" s="312">
        <f t="shared" ref="Q403" si="1558">D406</f>
        <v>0</v>
      </c>
      <c r="R403" s="312">
        <f t="shared" ref="R403" si="1559">E406</f>
        <v>0</v>
      </c>
    </row>
    <row r="404" spans="1:20" x14ac:dyDescent="0.15">
      <c r="A404" s="286" t="str">
        <f>A$8</f>
        <v>Pagat dhe sigurimet shoqërore</v>
      </c>
      <c r="B404" s="286"/>
      <c r="C404" s="563">
        <f>C410</f>
        <v>1940</v>
      </c>
      <c r="D404" s="563">
        <f t="shared" ref="D404:E404" si="1560">D410</f>
        <v>1940</v>
      </c>
      <c r="E404" s="563">
        <f t="shared" si="1560"/>
        <v>1940</v>
      </c>
      <c r="F404" s="407" t="str">
        <f t="shared" ref="F404:F406" si="1561">IF(C404&lt;0,"STOPP!","OK!")</f>
        <v>OK!</v>
      </c>
      <c r="G404" s="407" t="str">
        <f t="shared" ref="G404:G406" si="1562">IF(D404&lt;0,"STOPP!","OK!")</f>
        <v>OK!</v>
      </c>
      <c r="H404" s="407" t="str">
        <f t="shared" ref="H404:H406" si="1563">IF(E404&lt;0,"STOPP!","OK!")</f>
        <v>OK!</v>
      </c>
      <c r="I404" s="407" t="str">
        <f t="shared" ref="I404:I406" si="1564">IF(F404&lt;0,"STOPP!","OK!")</f>
        <v>OK!</v>
      </c>
      <c r="J404" s="407" t="str">
        <f t="shared" ref="J404:J406" si="1565">IF(G404&lt;0,"STOPP!","OK!")</f>
        <v>OK!</v>
      </c>
      <c r="K404" s="407" t="str">
        <f t="shared" ref="K404:K406" si="1566">IF(H404&lt;0,"STOPP!","OK!")</f>
        <v>OK!</v>
      </c>
      <c r="L404" s="407" t="str">
        <f t="shared" ref="L404:L406" si="1567">IF(I404&lt;0,"STOPP!","OK!")</f>
        <v>OK!</v>
      </c>
      <c r="M404" s="407" t="str">
        <f t="shared" ref="M404:M406" si="1568">IF(J404&lt;0,"STOPP!","OK!")</f>
        <v>OK!</v>
      </c>
      <c r="N404" s="407" t="str">
        <f t="shared" ref="N404:N406" si="1569">IF(K404&lt;0,"STOPP!","OK!")</f>
        <v>OK!</v>
      </c>
      <c r="O404" s="407" t="str">
        <f t="shared" ref="O404:O406" si="1570">IF(L404&lt;0,"STOPP!","OK!")</f>
        <v>OK!</v>
      </c>
      <c r="P404" s="407" t="str">
        <f t="shared" ref="P404:P406" si="1571">IF(M404&lt;0,"STOPP!","OK!")</f>
        <v>OK!</v>
      </c>
      <c r="Q404" s="407" t="str">
        <f t="shared" ref="Q404:Q406" si="1572">IF(N404&lt;0,"STOPP!","OK!")</f>
        <v>OK!</v>
      </c>
      <c r="R404" s="407" t="str">
        <f t="shared" ref="R404:R406" si="1573">IF(O404&lt;0,"STOPP!","OK!")</f>
        <v>OK!</v>
      </c>
      <c r="S404" s="407" t="str">
        <f t="shared" ref="S404:S406" si="1574">IF(D404&lt;0,"STOPP!","OK!")</f>
        <v>OK!</v>
      </c>
      <c r="T404" s="407" t="str">
        <f t="shared" ref="T404:T406" si="1575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3">
        <f>C411</f>
        <v>338304</v>
      </c>
      <c r="D405" s="563">
        <f t="shared" ref="D405:E405" si="1576">D411</f>
        <v>341304</v>
      </c>
      <c r="E405" s="563">
        <f t="shared" si="1576"/>
        <v>338304</v>
      </c>
      <c r="F405" s="407" t="str">
        <f t="shared" si="1561"/>
        <v>OK!</v>
      </c>
      <c r="G405" s="407" t="str">
        <f t="shared" si="1562"/>
        <v>OK!</v>
      </c>
      <c r="H405" s="407" t="str">
        <f t="shared" si="1563"/>
        <v>OK!</v>
      </c>
      <c r="I405" s="407" t="str">
        <f t="shared" si="1564"/>
        <v>OK!</v>
      </c>
      <c r="J405" s="407" t="str">
        <f t="shared" si="1565"/>
        <v>OK!</v>
      </c>
      <c r="K405" s="407" t="str">
        <f t="shared" si="1566"/>
        <v>OK!</v>
      </c>
      <c r="L405" s="407" t="str">
        <f t="shared" si="1567"/>
        <v>OK!</v>
      </c>
      <c r="M405" s="407" t="str">
        <f t="shared" si="1568"/>
        <v>OK!</v>
      </c>
      <c r="N405" s="407" t="str">
        <f t="shared" si="1569"/>
        <v>OK!</v>
      </c>
      <c r="O405" s="407" t="str">
        <f t="shared" si="1570"/>
        <v>OK!</v>
      </c>
      <c r="P405" s="407" t="str">
        <f t="shared" si="1571"/>
        <v>OK!</v>
      </c>
      <c r="Q405" s="407" t="str">
        <f t="shared" si="1572"/>
        <v>OK!</v>
      </c>
      <c r="R405" s="407" t="str">
        <f t="shared" si="1573"/>
        <v>OK!</v>
      </c>
      <c r="S405" s="407" t="str">
        <f t="shared" si="1574"/>
        <v>OK!</v>
      </c>
      <c r="T405" s="407" t="str">
        <f t="shared" si="1575"/>
        <v>OK!</v>
      </c>
    </row>
    <row r="406" spans="1:20" x14ac:dyDescent="0.15">
      <c r="A406" s="565" t="str">
        <f>A$10</f>
        <v>Shpenzimet kapitale</v>
      </c>
      <c r="B406" s="566"/>
      <c r="C406" s="563">
        <f>C407-C404-C405</f>
        <v>0</v>
      </c>
      <c r="D406" s="561">
        <f>D407-D404-D405</f>
        <v>0</v>
      </c>
      <c r="E406" s="561">
        <f>E407-E404-E405</f>
        <v>0</v>
      </c>
      <c r="F406" s="407" t="str">
        <f t="shared" si="1561"/>
        <v>OK!</v>
      </c>
      <c r="G406" s="407" t="str">
        <f t="shared" si="1562"/>
        <v>OK!</v>
      </c>
      <c r="H406" s="407" t="str">
        <f t="shared" si="1563"/>
        <v>OK!</v>
      </c>
      <c r="I406" s="407" t="str">
        <f t="shared" si="1564"/>
        <v>OK!</v>
      </c>
      <c r="J406" s="407" t="str">
        <f t="shared" si="1565"/>
        <v>OK!</v>
      </c>
      <c r="K406" s="407" t="str">
        <f t="shared" si="1566"/>
        <v>OK!</v>
      </c>
      <c r="L406" s="407" t="str">
        <f t="shared" si="1567"/>
        <v>OK!</v>
      </c>
      <c r="M406" s="407" t="str">
        <f t="shared" si="1568"/>
        <v>OK!</v>
      </c>
      <c r="N406" s="407" t="str">
        <f t="shared" si="1569"/>
        <v>OK!</v>
      </c>
      <c r="O406" s="407" t="str">
        <f t="shared" si="1570"/>
        <v>OK!</v>
      </c>
      <c r="P406" s="407" t="str">
        <f t="shared" si="1571"/>
        <v>OK!</v>
      </c>
      <c r="Q406" s="407" t="str">
        <f t="shared" si="1572"/>
        <v>OK!</v>
      </c>
      <c r="R406" s="407" t="str">
        <f t="shared" si="1573"/>
        <v>OK!</v>
      </c>
      <c r="S406" s="407" t="str">
        <f t="shared" si="1574"/>
        <v>OK!</v>
      </c>
      <c r="T406" s="407" t="str">
        <f t="shared" si="1575"/>
        <v>OK!</v>
      </c>
    </row>
    <row r="407" spans="1:20" x14ac:dyDescent="0.15">
      <c r="A407" s="555" t="str">
        <f>A$11</f>
        <v>Tavanet e përgjithshme</v>
      </c>
      <c r="B407" s="556"/>
      <c r="C407" s="563">
        <f>C413</f>
        <v>340244</v>
      </c>
      <c r="D407" s="563">
        <f t="shared" ref="D407:E407" si="1577">D413</f>
        <v>343244</v>
      </c>
      <c r="E407" s="563">
        <f t="shared" si="1577"/>
        <v>340244</v>
      </c>
      <c r="F407" s="407" t="str">
        <f>IF(C407&lt;0,"STOPP!","OK!")</f>
        <v>OK!</v>
      </c>
      <c r="G407" s="407" t="str">
        <f t="shared" ref="G407:G408" si="1578">IF(D407&lt;0,"STOPP!","OK!")</f>
        <v>OK!</v>
      </c>
      <c r="H407" s="407" t="str">
        <f t="shared" ref="H407:H408" si="1579">IF(E407&lt;0,"STOPP!","OK!")</f>
        <v>OK!</v>
      </c>
      <c r="I407" s="407" t="str">
        <f t="shared" ref="I407:I408" si="1580">IF(F407&lt;0,"STOPP!","OK!")</f>
        <v>OK!</v>
      </c>
      <c r="J407" s="407" t="str">
        <f t="shared" ref="J407:J408" si="1581">IF(G407&lt;0,"STOPP!","OK!")</f>
        <v>OK!</v>
      </c>
      <c r="K407" s="407" t="str">
        <f t="shared" ref="K407:K408" si="1582">IF(H407&lt;0,"STOPP!","OK!")</f>
        <v>OK!</v>
      </c>
      <c r="L407" s="407" t="str">
        <f t="shared" ref="L407:L408" si="1583">IF(I407&lt;0,"STOPP!","OK!")</f>
        <v>OK!</v>
      </c>
      <c r="M407" s="407" t="str">
        <f t="shared" ref="M407:M408" si="1584">IF(J407&lt;0,"STOPP!","OK!")</f>
        <v>OK!</v>
      </c>
      <c r="N407" s="407" t="str">
        <f t="shared" ref="N407:N408" si="1585">IF(K407&lt;0,"STOPP!","OK!")</f>
        <v>OK!</v>
      </c>
      <c r="O407" s="407" t="str">
        <f t="shared" ref="O407:O408" si="1586">IF(L407&lt;0,"STOPP!","OK!")</f>
        <v>OK!</v>
      </c>
      <c r="P407" s="407" t="str">
        <f t="shared" ref="P407:P408" si="1587">IF(M407&lt;0,"STOPP!","OK!")</f>
        <v>OK!</v>
      </c>
      <c r="Q407" s="407" t="str">
        <f t="shared" ref="Q407:Q408" si="1588">IF(N407&lt;0,"STOPP!","OK!")</f>
        <v>OK!</v>
      </c>
      <c r="R407" s="407" t="str">
        <f t="shared" ref="R407:R408" si="1589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7" t="str">
        <f>A$12</f>
        <v>Angazhimet kujtesë</v>
      </c>
      <c r="B408" s="563"/>
      <c r="C408" s="563">
        <f>'(C5) Angazhimet'!D143</f>
        <v>0</v>
      </c>
      <c r="D408" s="561">
        <f>'(C5) Angazhimet'!E143</f>
        <v>0</v>
      </c>
      <c r="E408" s="561">
        <f>'(C5) Angazhimet'!F143</f>
        <v>0</v>
      </c>
      <c r="F408" s="407" t="str">
        <f>IF(C408&gt;C407,"STOPP!","OK!")</f>
        <v>OK!</v>
      </c>
      <c r="G408" s="407" t="str">
        <f t="shared" si="1578"/>
        <v>OK!</v>
      </c>
      <c r="H408" s="407" t="str">
        <f t="shared" si="1579"/>
        <v>OK!</v>
      </c>
      <c r="I408" s="407" t="str">
        <f t="shared" si="1580"/>
        <v>OK!</v>
      </c>
      <c r="J408" s="407" t="str">
        <f t="shared" si="1581"/>
        <v>OK!</v>
      </c>
      <c r="K408" s="407" t="str">
        <f t="shared" si="1582"/>
        <v>OK!</v>
      </c>
      <c r="L408" s="407" t="str">
        <f t="shared" si="1583"/>
        <v>OK!</v>
      </c>
      <c r="M408" s="407" t="str">
        <f t="shared" si="1584"/>
        <v>OK!</v>
      </c>
      <c r="N408" s="407" t="str">
        <f t="shared" si="1585"/>
        <v>OK!</v>
      </c>
      <c r="O408" s="407" t="str">
        <f t="shared" si="1586"/>
        <v>OK!</v>
      </c>
      <c r="P408" s="407" t="str">
        <f t="shared" si="1587"/>
        <v>OK!</v>
      </c>
      <c r="Q408" s="407" t="str">
        <f t="shared" si="1588"/>
        <v>OK!</v>
      </c>
      <c r="R408" s="407" t="str">
        <f t="shared" si="1589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7" t="str">
        <f>'(B3) Struktura Funksionale'!B124</f>
        <v>10140</v>
      </c>
      <c r="B409" s="891" t="str">
        <f>'(B3) Struktura Funksionale'!C124</f>
        <v>Kujdesi social për personat e sëmurë dhe me aftësi të kufizuara</v>
      </c>
      <c r="C409" s="892"/>
      <c r="D409" s="892"/>
      <c r="E409" s="893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>
        <f>1663+277</f>
        <v>1940</v>
      </c>
      <c r="D410" s="287">
        <f t="shared" ref="D410:E410" si="1590">1663+277</f>
        <v>1940</v>
      </c>
      <c r="E410" s="287">
        <f t="shared" si="1590"/>
        <v>1940</v>
      </c>
      <c r="F410" s="407" t="str">
        <f t="shared" ref="F410:F412" si="1591">IF(C410&lt;0,"STOPP!","OK!")</f>
        <v>OK!</v>
      </c>
      <c r="G410" s="407" t="str">
        <f t="shared" ref="G410:G414" si="1592">IF(D410&lt;0,"STOPP!","OK!")</f>
        <v>OK!</v>
      </c>
      <c r="H410" s="407" t="str">
        <f t="shared" ref="H410:H414" si="1593">IF(E410&lt;0,"STOPP!","OK!")</f>
        <v>OK!</v>
      </c>
      <c r="I410" s="407" t="str">
        <f t="shared" ref="I410:I414" si="1594">IF(F410&lt;0,"STOPP!","OK!")</f>
        <v>OK!</v>
      </c>
      <c r="J410" s="407" t="str">
        <f t="shared" ref="J410:J414" si="1595">IF(G410&lt;0,"STOPP!","OK!")</f>
        <v>OK!</v>
      </c>
      <c r="K410" s="407" t="str">
        <f t="shared" ref="K410:K414" si="1596">IF(H410&lt;0,"STOPP!","OK!")</f>
        <v>OK!</v>
      </c>
      <c r="L410" s="407" t="str">
        <f t="shared" ref="L410:L414" si="1597">IF(I410&lt;0,"STOPP!","OK!")</f>
        <v>OK!</v>
      </c>
      <c r="M410" s="407" t="str">
        <f t="shared" ref="M410:M414" si="1598">IF(J410&lt;0,"STOPP!","OK!")</f>
        <v>OK!</v>
      </c>
      <c r="N410" s="407" t="str">
        <f t="shared" ref="N410:N414" si="1599">IF(K410&lt;0,"STOPP!","OK!")</f>
        <v>OK!</v>
      </c>
      <c r="O410" s="407" t="str">
        <f t="shared" ref="O410:O414" si="1600">IF(L410&lt;0,"STOPP!","OK!")</f>
        <v>OK!</v>
      </c>
      <c r="P410" s="407" t="str">
        <f t="shared" ref="P410:P414" si="1601">IF(M410&lt;0,"STOPP!","OK!")</f>
        <v>OK!</v>
      </c>
      <c r="Q410" s="407" t="str">
        <f t="shared" ref="Q410:Q414" si="1602">IF(N410&lt;0,"STOPP!","OK!")</f>
        <v>OK!</v>
      </c>
      <c r="R410" s="407" t="str">
        <f t="shared" ref="R410:R414" si="1603">IF(O410&lt;0,"STOPP!","OK!")</f>
        <v>OK!</v>
      </c>
      <c r="S410" s="407" t="str">
        <f t="shared" ref="S410:S412" si="1604">IF(D410&lt;0,"STOPP!","OK!")</f>
        <v>OK!</v>
      </c>
      <c r="T410" s="407" t="str">
        <f t="shared" ref="T410:T412" si="1605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f>202+1500+336602</f>
        <v>338304</v>
      </c>
      <c r="D411" s="288">
        <f>202+1500+336602+3000</f>
        <v>341304</v>
      </c>
      <c r="E411" s="288">
        <f t="shared" ref="E411" si="1606">202+1500+336602</f>
        <v>338304</v>
      </c>
      <c r="F411" s="407" t="str">
        <f t="shared" si="1591"/>
        <v>OK!</v>
      </c>
      <c r="G411" s="407" t="str">
        <f t="shared" si="1592"/>
        <v>OK!</v>
      </c>
      <c r="H411" s="407" t="str">
        <f t="shared" si="1593"/>
        <v>OK!</v>
      </c>
      <c r="I411" s="407" t="str">
        <f t="shared" si="1594"/>
        <v>OK!</v>
      </c>
      <c r="J411" s="407" t="str">
        <f t="shared" si="1595"/>
        <v>OK!</v>
      </c>
      <c r="K411" s="407" t="str">
        <f t="shared" si="1596"/>
        <v>OK!</v>
      </c>
      <c r="L411" s="407" t="str">
        <f t="shared" si="1597"/>
        <v>OK!</v>
      </c>
      <c r="M411" s="407" t="str">
        <f t="shared" si="1598"/>
        <v>OK!</v>
      </c>
      <c r="N411" s="407" t="str">
        <f t="shared" si="1599"/>
        <v>OK!</v>
      </c>
      <c r="O411" s="407" t="str">
        <f t="shared" si="1600"/>
        <v>OK!</v>
      </c>
      <c r="P411" s="407" t="str">
        <f t="shared" si="1601"/>
        <v>OK!</v>
      </c>
      <c r="Q411" s="407" t="str">
        <f t="shared" si="1602"/>
        <v>OK!</v>
      </c>
      <c r="R411" s="407" t="str">
        <f t="shared" si="1603"/>
        <v>OK!</v>
      </c>
      <c r="S411" s="407" t="str">
        <f t="shared" si="1604"/>
        <v>OK!</v>
      </c>
      <c r="T411" s="407" t="str">
        <f t="shared" si="1605"/>
        <v>OK!</v>
      </c>
    </row>
    <row r="412" spans="1:20" x14ac:dyDescent="0.15">
      <c r="A412" s="565" t="str">
        <f>A$10</f>
        <v>Shpenzimet kapitale</v>
      </c>
      <c r="B412" s="566"/>
      <c r="C412" s="563">
        <f>C413-C410-C411</f>
        <v>0</v>
      </c>
      <c r="D412" s="561">
        <f>D413-D410-D411</f>
        <v>0</v>
      </c>
      <c r="E412" s="561">
        <f>E413-E410-E411</f>
        <v>0</v>
      </c>
      <c r="F412" s="407" t="str">
        <f t="shared" si="1591"/>
        <v>OK!</v>
      </c>
      <c r="G412" s="407" t="str">
        <f t="shared" si="1592"/>
        <v>OK!</v>
      </c>
      <c r="H412" s="407" t="str">
        <f t="shared" si="1593"/>
        <v>OK!</v>
      </c>
      <c r="I412" s="407" t="str">
        <f t="shared" si="1594"/>
        <v>OK!</v>
      </c>
      <c r="J412" s="407" t="str">
        <f t="shared" si="1595"/>
        <v>OK!</v>
      </c>
      <c r="K412" s="407" t="str">
        <f t="shared" si="1596"/>
        <v>OK!</v>
      </c>
      <c r="L412" s="407" t="str">
        <f t="shared" si="1597"/>
        <v>OK!</v>
      </c>
      <c r="M412" s="407" t="str">
        <f t="shared" si="1598"/>
        <v>OK!</v>
      </c>
      <c r="N412" s="407" t="str">
        <f t="shared" si="1599"/>
        <v>OK!</v>
      </c>
      <c r="O412" s="407" t="str">
        <f t="shared" si="1600"/>
        <v>OK!</v>
      </c>
      <c r="P412" s="407" t="str">
        <f t="shared" si="1601"/>
        <v>OK!</v>
      </c>
      <c r="Q412" s="407" t="str">
        <f t="shared" si="1602"/>
        <v>OK!</v>
      </c>
      <c r="R412" s="407" t="str">
        <f t="shared" si="1603"/>
        <v>OK!</v>
      </c>
      <c r="S412" s="407" t="str">
        <f t="shared" si="1604"/>
        <v>OK!</v>
      </c>
      <c r="T412" s="407" t="str">
        <f t="shared" si="1605"/>
        <v>OK!</v>
      </c>
    </row>
    <row r="413" spans="1:20" x14ac:dyDescent="0.15">
      <c r="A413" s="555" t="str">
        <f>A$11</f>
        <v>Tavanet e përgjithshme</v>
      </c>
      <c r="B413" s="556"/>
      <c r="C413" s="564">
        <f>3642+336602</f>
        <v>340244</v>
      </c>
      <c r="D413" s="564">
        <f>3642+336602+3000</f>
        <v>343244</v>
      </c>
      <c r="E413" s="564">
        <f t="shared" ref="E413" si="1607">3642+336602</f>
        <v>340244</v>
      </c>
      <c r="F413" s="407" t="str">
        <f>IF(C413&lt;0,"STOPP!","OK!")</f>
        <v>OK!</v>
      </c>
      <c r="G413" s="407" t="str">
        <f t="shared" si="1592"/>
        <v>OK!</v>
      </c>
      <c r="H413" s="407" t="str">
        <f t="shared" si="1593"/>
        <v>OK!</v>
      </c>
      <c r="I413" s="407" t="str">
        <f t="shared" si="1594"/>
        <v>OK!</v>
      </c>
      <c r="J413" s="407" t="str">
        <f t="shared" si="1595"/>
        <v>OK!</v>
      </c>
      <c r="K413" s="407" t="str">
        <f t="shared" si="1596"/>
        <v>OK!</v>
      </c>
      <c r="L413" s="407" t="str">
        <f t="shared" si="1597"/>
        <v>OK!</v>
      </c>
      <c r="M413" s="407" t="str">
        <f t="shared" si="1598"/>
        <v>OK!</v>
      </c>
      <c r="N413" s="407" t="str">
        <f t="shared" si="1599"/>
        <v>OK!</v>
      </c>
      <c r="O413" s="407" t="str">
        <f t="shared" si="1600"/>
        <v>OK!</v>
      </c>
      <c r="P413" s="407" t="str">
        <f t="shared" si="1601"/>
        <v>OK!</v>
      </c>
      <c r="Q413" s="407" t="str">
        <f t="shared" si="1602"/>
        <v>OK!</v>
      </c>
      <c r="R413" s="407" t="str">
        <f t="shared" si="1603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7" t="str">
        <f>A$12</f>
        <v>Angazhimet kujtesë</v>
      </c>
      <c r="B414" s="563"/>
      <c r="C414" s="563">
        <f>'(C5) Angazhimet'!D140</f>
        <v>0</v>
      </c>
      <c r="D414" s="563">
        <f>'(C5) Angazhimet'!E140</f>
        <v>0</v>
      </c>
      <c r="E414" s="563">
        <f>'(C5) Angazhimet'!F140</f>
        <v>0</v>
      </c>
      <c r="F414" s="407" t="str">
        <f>IF(C414&gt;C413,"STOPP!","OK!")</f>
        <v>OK!</v>
      </c>
      <c r="G414" s="407" t="str">
        <f t="shared" si="1592"/>
        <v>OK!</v>
      </c>
      <c r="H414" s="407" t="str">
        <f t="shared" si="1593"/>
        <v>OK!</v>
      </c>
      <c r="I414" s="407" t="str">
        <f t="shared" si="1594"/>
        <v>OK!</v>
      </c>
      <c r="J414" s="407" t="str">
        <f t="shared" si="1595"/>
        <v>OK!</v>
      </c>
      <c r="K414" s="407" t="str">
        <f t="shared" si="1596"/>
        <v>OK!</v>
      </c>
      <c r="L414" s="407" t="str">
        <f t="shared" si="1597"/>
        <v>OK!</v>
      </c>
      <c r="M414" s="407" t="str">
        <f t="shared" si="1598"/>
        <v>OK!</v>
      </c>
      <c r="N414" s="407" t="str">
        <f t="shared" si="1599"/>
        <v>OK!</v>
      </c>
      <c r="O414" s="407" t="str">
        <f t="shared" si="1600"/>
        <v>OK!</v>
      </c>
      <c r="P414" s="407" t="str">
        <f t="shared" si="1601"/>
        <v>OK!</v>
      </c>
      <c r="Q414" s="407" t="str">
        <f t="shared" si="1602"/>
        <v>OK!</v>
      </c>
      <c r="R414" s="407" t="str">
        <f t="shared" si="1603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6" t="str">
        <f>'(B2) Struktura Organizative'!A62</f>
        <v>Nënfunksioni 24</v>
      </c>
      <c r="B415" s="894" t="str">
        <f>'(B2) Struktura Organizative'!B62</f>
        <v>102 Të moshuarit</v>
      </c>
      <c r="C415" s="895"/>
      <c r="D415" s="895"/>
      <c r="E415" s="896"/>
      <c r="G415" s="312">
        <f>C419</f>
        <v>0</v>
      </c>
      <c r="H415" s="312">
        <f t="shared" ref="H415" si="1608">D419</f>
        <v>0</v>
      </c>
      <c r="I415" s="312">
        <f t="shared" ref="I415" si="1609">E419</f>
        <v>0</v>
      </c>
      <c r="J415" s="312">
        <f>C416</f>
        <v>0</v>
      </c>
      <c r="K415" s="312">
        <f t="shared" ref="K415" si="1610">D416</f>
        <v>0</v>
      </c>
      <c r="L415" s="312">
        <f t="shared" ref="L415" si="1611">E416</f>
        <v>0</v>
      </c>
      <c r="M415" s="312">
        <f>C417</f>
        <v>0</v>
      </c>
      <c r="N415" s="312">
        <f t="shared" ref="N415" si="1612">D417</f>
        <v>0</v>
      </c>
      <c r="O415" s="312">
        <f t="shared" ref="O415" si="1613">E417</f>
        <v>0</v>
      </c>
      <c r="P415" s="312">
        <f>C418</f>
        <v>0</v>
      </c>
      <c r="Q415" s="312">
        <f t="shared" ref="Q415" si="1614">D418</f>
        <v>0</v>
      </c>
      <c r="R415" s="312">
        <f t="shared" ref="R415" si="1615">E418</f>
        <v>0</v>
      </c>
    </row>
    <row r="416" spans="1:20" x14ac:dyDescent="0.15">
      <c r="A416" s="286" t="str">
        <f>A$8</f>
        <v>Pagat dhe sigurimet shoqërore</v>
      </c>
      <c r="B416" s="286"/>
      <c r="C416" s="563">
        <f>C422</f>
        <v>0</v>
      </c>
      <c r="D416" s="563">
        <f t="shared" ref="D416:E416" si="1616">D422</f>
        <v>0</v>
      </c>
      <c r="E416" s="563">
        <f t="shared" si="1616"/>
        <v>0</v>
      </c>
      <c r="F416" s="407" t="str">
        <f t="shared" ref="F416:F418" si="1617">IF(C416&lt;0,"STOPP!","OK!")</f>
        <v>OK!</v>
      </c>
      <c r="G416" s="407" t="str">
        <f t="shared" ref="G416:G418" si="1618">IF(D416&lt;0,"STOPP!","OK!")</f>
        <v>OK!</v>
      </c>
      <c r="H416" s="407" t="str">
        <f t="shared" ref="H416:H418" si="1619">IF(E416&lt;0,"STOPP!","OK!")</f>
        <v>OK!</v>
      </c>
      <c r="I416" s="407" t="str">
        <f t="shared" ref="I416:I418" si="1620">IF(F416&lt;0,"STOPP!","OK!")</f>
        <v>OK!</v>
      </c>
      <c r="J416" s="407" t="str">
        <f t="shared" ref="J416:J418" si="1621">IF(G416&lt;0,"STOPP!","OK!")</f>
        <v>OK!</v>
      </c>
      <c r="K416" s="407" t="str">
        <f t="shared" ref="K416:K418" si="1622">IF(H416&lt;0,"STOPP!","OK!")</f>
        <v>OK!</v>
      </c>
      <c r="L416" s="407" t="str">
        <f t="shared" ref="L416:L418" si="1623">IF(I416&lt;0,"STOPP!","OK!")</f>
        <v>OK!</v>
      </c>
      <c r="M416" s="407" t="str">
        <f t="shared" ref="M416:M418" si="1624">IF(J416&lt;0,"STOPP!","OK!")</f>
        <v>OK!</v>
      </c>
      <c r="N416" s="407" t="str">
        <f t="shared" ref="N416:N418" si="1625">IF(K416&lt;0,"STOPP!","OK!")</f>
        <v>OK!</v>
      </c>
      <c r="O416" s="407" t="str">
        <f t="shared" ref="O416:O418" si="1626">IF(L416&lt;0,"STOPP!","OK!")</f>
        <v>OK!</v>
      </c>
      <c r="P416" s="407" t="str">
        <f t="shared" ref="P416:P418" si="1627">IF(M416&lt;0,"STOPP!","OK!")</f>
        <v>OK!</v>
      </c>
      <c r="Q416" s="407" t="str">
        <f t="shared" ref="Q416:Q418" si="1628">IF(N416&lt;0,"STOPP!","OK!")</f>
        <v>OK!</v>
      </c>
      <c r="R416" s="407" t="str">
        <f t="shared" ref="R416:R418" si="1629">IF(O416&lt;0,"STOPP!","OK!")</f>
        <v>OK!</v>
      </c>
      <c r="S416" s="407" t="str">
        <f t="shared" ref="S416:S418" si="1630">IF(D416&lt;0,"STOPP!","OK!")</f>
        <v>OK!</v>
      </c>
      <c r="T416" s="407" t="str">
        <f t="shared" ref="T416:T418" si="1631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3">
        <f>C423</f>
        <v>0</v>
      </c>
      <c r="D417" s="563">
        <f t="shared" ref="D417:E417" si="1632">D423</f>
        <v>0</v>
      </c>
      <c r="E417" s="563">
        <f t="shared" si="1632"/>
        <v>0</v>
      </c>
      <c r="F417" s="407" t="str">
        <f t="shared" si="1617"/>
        <v>OK!</v>
      </c>
      <c r="G417" s="407" t="str">
        <f t="shared" si="1618"/>
        <v>OK!</v>
      </c>
      <c r="H417" s="407" t="str">
        <f t="shared" si="1619"/>
        <v>OK!</v>
      </c>
      <c r="I417" s="407" t="str">
        <f t="shared" si="1620"/>
        <v>OK!</v>
      </c>
      <c r="J417" s="407" t="str">
        <f t="shared" si="1621"/>
        <v>OK!</v>
      </c>
      <c r="K417" s="407" t="str">
        <f t="shared" si="1622"/>
        <v>OK!</v>
      </c>
      <c r="L417" s="407" t="str">
        <f t="shared" si="1623"/>
        <v>OK!</v>
      </c>
      <c r="M417" s="407" t="str">
        <f t="shared" si="1624"/>
        <v>OK!</v>
      </c>
      <c r="N417" s="407" t="str">
        <f t="shared" si="1625"/>
        <v>OK!</v>
      </c>
      <c r="O417" s="407" t="str">
        <f t="shared" si="1626"/>
        <v>OK!</v>
      </c>
      <c r="P417" s="407" t="str">
        <f t="shared" si="1627"/>
        <v>OK!</v>
      </c>
      <c r="Q417" s="407" t="str">
        <f t="shared" si="1628"/>
        <v>OK!</v>
      </c>
      <c r="R417" s="407" t="str">
        <f t="shared" si="1629"/>
        <v>OK!</v>
      </c>
      <c r="S417" s="407" t="str">
        <f t="shared" si="1630"/>
        <v>OK!</v>
      </c>
      <c r="T417" s="407" t="str">
        <f t="shared" si="1631"/>
        <v>OK!</v>
      </c>
    </row>
    <row r="418" spans="1:20" x14ac:dyDescent="0.15">
      <c r="A418" s="565" t="str">
        <f>A$10</f>
        <v>Shpenzimet kapitale</v>
      </c>
      <c r="B418" s="566"/>
      <c r="C418" s="563">
        <f>C419-C416-C417</f>
        <v>0</v>
      </c>
      <c r="D418" s="561">
        <f>D419-D416-D417</f>
        <v>0</v>
      </c>
      <c r="E418" s="561">
        <f>E419-E416-E417</f>
        <v>0</v>
      </c>
      <c r="F418" s="407" t="str">
        <f t="shared" si="1617"/>
        <v>OK!</v>
      </c>
      <c r="G418" s="407" t="str">
        <f t="shared" si="1618"/>
        <v>OK!</v>
      </c>
      <c r="H418" s="407" t="str">
        <f t="shared" si="1619"/>
        <v>OK!</v>
      </c>
      <c r="I418" s="407" t="str">
        <f t="shared" si="1620"/>
        <v>OK!</v>
      </c>
      <c r="J418" s="407" t="str">
        <f t="shared" si="1621"/>
        <v>OK!</v>
      </c>
      <c r="K418" s="407" t="str">
        <f t="shared" si="1622"/>
        <v>OK!</v>
      </c>
      <c r="L418" s="407" t="str">
        <f t="shared" si="1623"/>
        <v>OK!</v>
      </c>
      <c r="M418" s="407" t="str">
        <f t="shared" si="1624"/>
        <v>OK!</v>
      </c>
      <c r="N418" s="407" t="str">
        <f t="shared" si="1625"/>
        <v>OK!</v>
      </c>
      <c r="O418" s="407" t="str">
        <f t="shared" si="1626"/>
        <v>OK!</v>
      </c>
      <c r="P418" s="407" t="str">
        <f t="shared" si="1627"/>
        <v>OK!</v>
      </c>
      <c r="Q418" s="407" t="str">
        <f t="shared" si="1628"/>
        <v>OK!</v>
      </c>
      <c r="R418" s="407" t="str">
        <f t="shared" si="1629"/>
        <v>OK!</v>
      </c>
      <c r="S418" s="407" t="str">
        <f t="shared" si="1630"/>
        <v>OK!</v>
      </c>
      <c r="T418" s="407" t="str">
        <f t="shared" si="1631"/>
        <v>OK!</v>
      </c>
    </row>
    <row r="419" spans="1:20" x14ac:dyDescent="0.15">
      <c r="A419" s="555" t="str">
        <f>A$11</f>
        <v>Tavanet e përgjithshme</v>
      </c>
      <c r="B419" s="556"/>
      <c r="C419" s="563">
        <f>C425</f>
        <v>0</v>
      </c>
      <c r="D419" s="563">
        <f t="shared" ref="D419:E419" si="1633">D425</f>
        <v>0</v>
      </c>
      <c r="E419" s="563">
        <f t="shared" si="1633"/>
        <v>0</v>
      </c>
      <c r="F419" s="407" t="str">
        <f>IF(C419&lt;0,"STOPP!","OK!")</f>
        <v>OK!</v>
      </c>
      <c r="G419" s="407" t="str">
        <f t="shared" ref="G419:G420" si="1634">IF(D419&lt;0,"STOPP!","OK!")</f>
        <v>OK!</v>
      </c>
      <c r="H419" s="407" t="str">
        <f t="shared" ref="H419:H420" si="1635">IF(E419&lt;0,"STOPP!","OK!")</f>
        <v>OK!</v>
      </c>
      <c r="I419" s="407" t="str">
        <f t="shared" ref="I419:I420" si="1636">IF(F419&lt;0,"STOPP!","OK!")</f>
        <v>OK!</v>
      </c>
      <c r="J419" s="407" t="str">
        <f t="shared" ref="J419:J420" si="1637">IF(G419&lt;0,"STOPP!","OK!")</f>
        <v>OK!</v>
      </c>
      <c r="K419" s="407" t="str">
        <f t="shared" ref="K419:K420" si="1638">IF(H419&lt;0,"STOPP!","OK!")</f>
        <v>OK!</v>
      </c>
      <c r="L419" s="407" t="str">
        <f t="shared" ref="L419:L420" si="1639">IF(I419&lt;0,"STOPP!","OK!")</f>
        <v>OK!</v>
      </c>
      <c r="M419" s="407" t="str">
        <f t="shared" ref="M419:M420" si="1640">IF(J419&lt;0,"STOPP!","OK!")</f>
        <v>OK!</v>
      </c>
      <c r="N419" s="407" t="str">
        <f t="shared" ref="N419:N420" si="1641">IF(K419&lt;0,"STOPP!","OK!")</f>
        <v>OK!</v>
      </c>
      <c r="O419" s="407" t="str">
        <f t="shared" ref="O419:O420" si="1642">IF(L419&lt;0,"STOPP!","OK!")</f>
        <v>OK!</v>
      </c>
      <c r="P419" s="407" t="str">
        <f t="shared" ref="P419:P420" si="1643">IF(M419&lt;0,"STOPP!","OK!")</f>
        <v>OK!</v>
      </c>
      <c r="Q419" s="407" t="str">
        <f t="shared" ref="Q419:Q420" si="1644">IF(N419&lt;0,"STOPP!","OK!")</f>
        <v>OK!</v>
      </c>
      <c r="R419" s="407" t="str">
        <f t="shared" ref="R419:R420" si="1645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7" t="str">
        <f>A$12</f>
        <v>Angazhimet kujtesë</v>
      </c>
      <c r="B420" s="563"/>
      <c r="C420" s="563">
        <f>'(C5) Angazhimet'!D148</f>
        <v>0</v>
      </c>
      <c r="D420" s="561">
        <f>'(C5) Angazhimet'!E148</f>
        <v>0</v>
      </c>
      <c r="E420" s="561">
        <f>'(C5) Angazhimet'!F148</f>
        <v>0</v>
      </c>
      <c r="F420" s="407" t="str">
        <f>IF(C420&gt;C419,"STOPP!","OK!")</f>
        <v>OK!</v>
      </c>
      <c r="G420" s="407" t="str">
        <f t="shared" si="1634"/>
        <v>OK!</v>
      </c>
      <c r="H420" s="407" t="str">
        <f t="shared" si="1635"/>
        <v>OK!</v>
      </c>
      <c r="I420" s="407" t="str">
        <f t="shared" si="1636"/>
        <v>OK!</v>
      </c>
      <c r="J420" s="407" t="str">
        <f t="shared" si="1637"/>
        <v>OK!</v>
      </c>
      <c r="K420" s="407" t="str">
        <f t="shared" si="1638"/>
        <v>OK!</v>
      </c>
      <c r="L420" s="407" t="str">
        <f t="shared" si="1639"/>
        <v>OK!</v>
      </c>
      <c r="M420" s="407" t="str">
        <f t="shared" si="1640"/>
        <v>OK!</v>
      </c>
      <c r="N420" s="407" t="str">
        <f t="shared" si="1641"/>
        <v>OK!</v>
      </c>
      <c r="O420" s="407" t="str">
        <f t="shared" si="1642"/>
        <v>OK!</v>
      </c>
      <c r="P420" s="407" t="str">
        <f t="shared" si="1643"/>
        <v>OK!</v>
      </c>
      <c r="Q420" s="407" t="str">
        <f t="shared" si="1644"/>
        <v>OK!</v>
      </c>
      <c r="R420" s="407" t="str">
        <f t="shared" si="1645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7" t="str">
        <f>'(B3) Struktura Funksionale'!B128</f>
        <v>10220</v>
      </c>
      <c r="B421" s="891" t="str">
        <f>'(B3) Struktura Funksionale'!C128</f>
        <v>Sigurimi shoqëror</v>
      </c>
      <c r="C421" s="892"/>
      <c r="D421" s="892"/>
      <c r="E421" s="893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46">IF(C422&lt;0,"STOPP!","OK!")</f>
        <v>OK!</v>
      </c>
      <c r="G422" s="407" t="str">
        <f t="shared" ref="G422:G426" si="1647">IF(D422&lt;0,"STOPP!","OK!")</f>
        <v>OK!</v>
      </c>
      <c r="H422" s="407" t="str">
        <f t="shared" ref="H422:H426" si="1648">IF(E422&lt;0,"STOPP!","OK!")</f>
        <v>OK!</v>
      </c>
      <c r="I422" s="407" t="str">
        <f t="shared" ref="I422:I426" si="1649">IF(F422&lt;0,"STOPP!","OK!")</f>
        <v>OK!</v>
      </c>
      <c r="J422" s="407" t="str">
        <f t="shared" ref="J422:J426" si="1650">IF(G422&lt;0,"STOPP!","OK!")</f>
        <v>OK!</v>
      </c>
      <c r="K422" s="407" t="str">
        <f t="shared" ref="K422:K426" si="1651">IF(H422&lt;0,"STOPP!","OK!")</f>
        <v>OK!</v>
      </c>
      <c r="L422" s="407" t="str">
        <f t="shared" ref="L422:L426" si="1652">IF(I422&lt;0,"STOPP!","OK!")</f>
        <v>OK!</v>
      </c>
      <c r="M422" s="407" t="str">
        <f t="shared" ref="M422:M426" si="1653">IF(J422&lt;0,"STOPP!","OK!")</f>
        <v>OK!</v>
      </c>
      <c r="N422" s="407" t="str">
        <f t="shared" ref="N422:N426" si="1654">IF(K422&lt;0,"STOPP!","OK!")</f>
        <v>OK!</v>
      </c>
      <c r="O422" s="407" t="str">
        <f t="shared" ref="O422:O426" si="1655">IF(L422&lt;0,"STOPP!","OK!")</f>
        <v>OK!</v>
      </c>
      <c r="P422" s="407" t="str">
        <f t="shared" ref="P422:P426" si="1656">IF(M422&lt;0,"STOPP!","OK!")</f>
        <v>OK!</v>
      </c>
      <c r="Q422" s="407" t="str">
        <f t="shared" ref="Q422:Q426" si="1657">IF(N422&lt;0,"STOPP!","OK!")</f>
        <v>OK!</v>
      </c>
      <c r="R422" s="407" t="str">
        <f t="shared" ref="R422:R426" si="1658">IF(O422&lt;0,"STOPP!","OK!")</f>
        <v>OK!</v>
      </c>
      <c r="S422" s="407" t="str">
        <f t="shared" ref="S422:S424" si="1659">IF(D422&lt;0,"STOPP!","OK!")</f>
        <v>OK!</v>
      </c>
      <c r="T422" s="407" t="str">
        <f t="shared" ref="T422:T424" si="1660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7" t="str">
        <f t="shared" si="1646"/>
        <v>OK!</v>
      </c>
      <c r="G423" s="407" t="str">
        <f t="shared" si="1647"/>
        <v>OK!</v>
      </c>
      <c r="H423" s="407" t="str">
        <f t="shared" si="1648"/>
        <v>OK!</v>
      </c>
      <c r="I423" s="407" t="str">
        <f t="shared" si="1649"/>
        <v>OK!</v>
      </c>
      <c r="J423" s="407" t="str">
        <f t="shared" si="1650"/>
        <v>OK!</v>
      </c>
      <c r="K423" s="407" t="str">
        <f t="shared" si="1651"/>
        <v>OK!</v>
      </c>
      <c r="L423" s="407" t="str">
        <f t="shared" si="1652"/>
        <v>OK!</v>
      </c>
      <c r="M423" s="407" t="str">
        <f t="shared" si="1653"/>
        <v>OK!</v>
      </c>
      <c r="N423" s="407" t="str">
        <f t="shared" si="1654"/>
        <v>OK!</v>
      </c>
      <c r="O423" s="407" t="str">
        <f t="shared" si="1655"/>
        <v>OK!</v>
      </c>
      <c r="P423" s="407" t="str">
        <f t="shared" si="1656"/>
        <v>OK!</v>
      </c>
      <c r="Q423" s="407" t="str">
        <f t="shared" si="1657"/>
        <v>OK!</v>
      </c>
      <c r="R423" s="407" t="str">
        <f t="shared" si="1658"/>
        <v>OK!</v>
      </c>
      <c r="S423" s="407" t="str">
        <f t="shared" si="1659"/>
        <v>OK!</v>
      </c>
      <c r="T423" s="407" t="str">
        <f t="shared" si="1660"/>
        <v>OK!</v>
      </c>
    </row>
    <row r="424" spans="1:20" x14ac:dyDescent="0.15">
      <c r="A424" s="565" t="str">
        <f>A$10</f>
        <v>Shpenzimet kapitale</v>
      </c>
      <c r="B424" s="566"/>
      <c r="C424" s="563">
        <f>C425-C422-C423</f>
        <v>0</v>
      </c>
      <c r="D424" s="561">
        <f>D425-D422-D423</f>
        <v>0</v>
      </c>
      <c r="E424" s="561">
        <f>E425-E422-E423</f>
        <v>0</v>
      </c>
      <c r="F424" s="407" t="str">
        <f t="shared" si="1646"/>
        <v>OK!</v>
      </c>
      <c r="G424" s="407" t="str">
        <f t="shared" si="1647"/>
        <v>OK!</v>
      </c>
      <c r="H424" s="407" t="str">
        <f t="shared" si="1648"/>
        <v>OK!</v>
      </c>
      <c r="I424" s="407" t="str">
        <f t="shared" si="1649"/>
        <v>OK!</v>
      </c>
      <c r="J424" s="407" t="str">
        <f t="shared" si="1650"/>
        <v>OK!</v>
      </c>
      <c r="K424" s="407" t="str">
        <f t="shared" si="1651"/>
        <v>OK!</v>
      </c>
      <c r="L424" s="407" t="str">
        <f t="shared" si="1652"/>
        <v>OK!</v>
      </c>
      <c r="M424" s="407" t="str">
        <f t="shared" si="1653"/>
        <v>OK!</v>
      </c>
      <c r="N424" s="407" t="str">
        <f t="shared" si="1654"/>
        <v>OK!</v>
      </c>
      <c r="O424" s="407" t="str">
        <f t="shared" si="1655"/>
        <v>OK!</v>
      </c>
      <c r="P424" s="407" t="str">
        <f t="shared" si="1656"/>
        <v>OK!</v>
      </c>
      <c r="Q424" s="407" t="str">
        <f t="shared" si="1657"/>
        <v>OK!</v>
      </c>
      <c r="R424" s="407" t="str">
        <f t="shared" si="1658"/>
        <v>OK!</v>
      </c>
      <c r="S424" s="407" t="str">
        <f t="shared" si="1659"/>
        <v>OK!</v>
      </c>
      <c r="T424" s="407" t="str">
        <f t="shared" si="1660"/>
        <v>OK!</v>
      </c>
    </row>
    <row r="425" spans="1:20" x14ac:dyDescent="0.15">
      <c r="A425" s="555" t="str">
        <f>A$11</f>
        <v>Tavanet e përgjithshme</v>
      </c>
      <c r="B425" s="556"/>
      <c r="C425" s="564"/>
      <c r="D425" s="562"/>
      <c r="E425" s="562"/>
      <c r="F425" s="407" t="str">
        <f>IF(C425&lt;0,"STOPP!","OK!")</f>
        <v>OK!</v>
      </c>
      <c r="G425" s="407" t="str">
        <f t="shared" si="1647"/>
        <v>OK!</v>
      </c>
      <c r="H425" s="407" t="str">
        <f t="shared" si="1648"/>
        <v>OK!</v>
      </c>
      <c r="I425" s="407" t="str">
        <f t="shared" si="1649"/>
        <v>OK!</v>
      </c>
      <c r="J425" s="407" t="str">
        <f t="shared" si="1650"/>
        <v>OK!</v>
      </c>
      <c r="K425" s="407" t="str">
        <f t="shared" si="1651"/>
        <v>OK!</v>
      </c>
      <c r="L425" s="407" t="str">
        <f t="shared" si="1652"/>
        <v>OK!</v>
      </c>
      <c r="M425" s="407" t="str">
        <f t="shared" si="1653"/>
        <v>OK!</v>
      </c>
      <c r="N425" s="407" t="str">
        <f t="shared" si="1654"/>
        <v>OK!</v>
      </c>
      <c r="O425" s="407" t="str">
        <f t="shared" si="1655"/>
        <v>OK!</v>
      </c>
      <c r="P425" s="407" t="str">
        <f t="shared" si="1656"/>
        <v>OK!</v>
      </c>
      <c r="Q425" s="407" t="str">
        <f t="shared" si="1657"/>
        <v>OK!</v>
      </c>
      <c r="R425" s="407" t="str">
        <f t="shared" si="1658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7" t="str">
        <f>A$12</f>
        <v>Angazhimet kujtesë</v>
      </c>
      <c r="B426" s="563"/>
      <c r="C426" s="563">
        <f>'(C5) Angazhimet'!D145</f>
        <v>0</v>
      </c>
      <c r="D426" s="563">
        <f>'(C5) Angazhimet'!E145</f>
        <v>0</v>
      </c>
      <c r="E426" s="563">
        <f>'(C5) Angazhimet'!F145</f>
        <v>0</v>
      </c>
      <c r="F426" s="407" t="str">
        <f>IF(C426&gt;C425,"STOPP!","OK!")</f>
        <v>OK!</v>
      </c>
      <c r="G426" s="407" t="str">
        <f t="shared" si="1647"/>
        <v>OK!</v>
      </c>
      <c r="H426" s="407" t="str">
        <f t="shared" si="1648"/>
        <v>OK!</v>
      </c>
      <c r="I426" s="407" t="str">
        <f t="shared" si="1649"/>
        <v>OK!</v>
      </c>
      <c r="J426" s="407" t="str">
        <f t="shared" si="1650"/>
        <v>OK!</v>
      </c>
      <c r="K426" s="407" t="str">
        <f t="shared" si="1651"/>
        <v>OK!</v>
      </c>
      <c r="L426" s="407" t="str">
        <f t="shared" si="1652"/>
        <v>OK!</v>
      </c>
      <c r="M426" s="407" t="str">
        <f t="shared" si="1653"/>
        <v>OK!</v>
      </c>
      <c r="N426" s="407" t="str">
        <f t="shared" si="1654"/>
        <v>OK!</v>
      </c>
      <c r="O426" s="407" t="str">
        <f t="shared" si="1655"/>
        <v>OK!</v>
      </c>
      <c r="P426" s="407" t="str">
        <f t="shared" si="1656"/>
        <v>OK!</v>
      </c>
      <c r="Q426" s="407" t="str">
        <f t="shared" si="1657"/>
        <v>OK!</v>
      </c>
      <c r="R426" s="407" t="str">
        <f t="shared" si="1658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6" t="str">
        <f>'(B2) Struktura Organizative'!A64</f>
        <v>Nënfunksioni 25</v>
      </c>
      <c r="B427" s="894" t="str">
        <f>'(B2) Struktura Organizative'!B64</f>
        <v>104 Familje dhe fëmijë</v>
      </c>
      <c r="C427" s="895"/>
      <c r="D427" s="895"/>
      <c r="E427" s="896"/>
      <c r="G427" s="312">
        <f>C431</f>
        <v>20100</v>
      </c>
      <c r="H427" s="312">
        <f t="shared" ref="H427" si="1661">D431</f>
        <v>20044</v>
      </c>
      <c r="I427" s="312">
        <f t="shared" ref="I427" si="1662">E431</f>
        <v>20100</v>
      </c>
      <c r="J427" s="312">
        <f>C428</f>
        <v>17800</v>
      </c>
      <c r="K427" s="312">
        <f t="shared" ref="K427" si="1663">D428</f>
        <v>17744</v>
      </c>
      <c r="L427" s="312">
        <f t="shared" ref="L427" si="1664">E428</f>
        <v>17800</v>
      </c>
      <c r="M427" s="312">
        <f>C429</f>
        <v>2300</v>
      </c>
      <c r="N427" s="312">
        <f t="shared" ref="N427" si="1665">D429</f>
        <v>2300</v>
      </c>
      <c r="O427" s="312">
        <f t="shared" ref="O427" si="1666">E429</f>
        <v>2300</v>
      </c>
      <c r="P427" s="312">
        <f>C430</f>
        <v>0</v>
      </c>
      <c r="Q427" s="312">
        <f t="shared" ref="Q427" si="1667">D430</f>
        <v>0</v>
      </c>
      <c r="R427" s="312">
        <f t="shared" ref="R427" si="1668">E430</f>
        <v>0</v>
      </c>
    </row>
    <row r="428" spans="1:20" x14ac:dyDescent="0.15">
      <c r="A428" s="286" t="str">
        <f>A$8</f>
        <v>Pagat dhe sigurimet shoqërore</v>
      </c>
      <c r="B428" s="286"/>
      <c r="C428" s="563">
        <f>C434+C440</f>
        <v>17800</v>
      </c>
      <c r="D428" s="563">
        <f t="shared" ref="D428:E428" si="1669">D434+D440</f>
        <v>17744</v>
      </c>
      <c r="E428" s="563">
        <f t="shared" si="1669"/>
        <v>17800</v>
      </c>
      <c r="F428" s="407" t="str">
        <f t="shared" ref="F428:F430" si="1670">IF(C428&lt;0,"STOPP!","OK!")</f>
        <v>OK!</v>
      </c>
      <c r="G428" s="407" t="str">
        <f t="shared" ref="G428:G430" si="1671">IF(D428&lt;0,"STOPP!","OK!")</f>
        <v>OK!</v>
      </c>
      <c r="H428" s="407" t="str">
        <f t="shared" ref="H428:H430" si="1672">IF(E428&lt;0,"STOPP!","OK!")</f>
        <v>OK!</v>
      </c>
      <c r="I428" s="407" t="str">
        <f t="shared" ref="I428:I430" si="1673">IF(F428&lt;0,"STOPP!","OK!")</f>
        <v>OK!</v>
      </c>
      <c r="J428" s="407" t="str">
        <f t="shared" ref="J428:J430" si="1674">IF(G428&lt;0,"STOPP!","OK!")</f>
        <v>OK!</v>
      </c>
      <c r="K428" s="407" t="str">
        <f t="shared" ref="K428:K430" si="1675">IF(H428&lt;0,"STOPP!","OK!")</f>
        <v>OK!</v>
      </c>
      <c r="L428" s="407" t="str">
        <f t="shared" ref="L428:L430" si="1676">IF(I428&lt;0,"STOPP!","OK!")</f>
        <v>OK!</v>
      </c>
      <c r="M428" s="407" t="str">
        <f t="shared" ref="M428:M430" si="1677">IF(J428&lt;0,"STOPP!","OK!")</f>
        <v>OK!</v>
      </c>
      <c r="N428" s="407" t="str">
        <f t="shared" ref="N428:N430" si="1678">IF(K428&lt;0,"STOPP!","OK!")</f>
        <v>OK!</v>
      </c>
      <c r="O428" s="407" t="str">
        <f t="shared" ref="O428:O430" si="1679">IF(L428&lt;0,"STOPP!","OK!")</f>
        <v>OK!</v>
      </c>
      <c r="P428" s="407" t="str">
        <f t="shared" ref="P428:P430" si="1680">IF(M428&lt;0,"STOPP!","OK!")</f>
        <v>OK!</v>
      </c>
      <c r="Q428" s="407" t="str">
        <f t="shared" ref="Q428:Q430" si="1681">IF(N428&lt;0,"STOPP!","OK!")</f>
        <v>OK!</v>
      </c>
      <c r="R428" s="407" t="str">
        <f t="shared" ref="R428:R430" si="1682">IF(O428&lt;0,"STOPP!","OK!")</f>
        <v>OK!</v>
      </c>
      <c r="S428" s="407" t="str">
        <f t="shared" ref="S428:S430" si="1683">IF(D428&lt;0,"STOPP!","OK!")</f>
        <v>OK!</v>
      </c>
      <c r="T428" s="407" t="str">
        <f t="shared" ref="T428:T430" si="1684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3">
        <f>C435+C441</f>
        <v>2300</v>
      </c>
      <c r="D429" s="563">
        <f t="shared" ref="D429:E429" si="1685">D435+D441</f>
        <v>2300</v>
      </c>
      <c r="E429" s="563">
        <f t="shared" si="1685"/>
        <v>2300</v>
      </c>
      <c r="F429" s="407" t="str">
        <f t="shared" si="1670"/>
        <v>OK!</v>
      </c>
      <c r="G429" s="407" t="str">
        <f t="shared" si="1671"/>
        <v>OK!</v>
      </c>
      <c r="H429" s="407" t="str">
        <f t="shared" si="1672"/>
        <v>OK!</v>
      </c>
      <c r="I429" s="407" t="str">
        <f t="shared" si="1673"/>
        <v>OK!</v>
      </c>
      <c r="J429" s="407" t="str">
        <f t="shared" si="1674"/>
        <v>OK!</v>
      </c>
      <c r="K429" s="407" t="str">
        <f t="shared" si="1675"/>
        <v>OK!</v>
      </c>
      <c r="L429" s="407" t="str">
        <f t="shared" si="1676"/>
        <v>OK!</v>
      </c>
      <c r="M429" s="407" t="str">
        <f t="shared" si="1677"/>
        <v>OK!</v>
      </c>
      <c r="N429" s="407" t="str">
        <f t="shared" si="1678"/>
        <v>OK!</v>
      </c>
      <c r="O429" s="407" t="str">
        <f t="shared" si="1679"/>
        <v>OK!</v>
      </c>
      <c r="P429" s="407" t="str">
        <f t="shared" si="1680"/>
        <v>OK!</v>
      </c>
      <c r="Q429" s="407" t="str">
        <f t="shared" si="1681"/>
        <v>OK!</v>
      </c>
      <c r="R429" s="407" t="str">
        <f t="shared" si="1682"/>
        <v>OK!</v>
      </c>
      <c r="S429" s="407" t="str">
        <f t="shared" si="1683"/>
        <v>OK!</v>
      </c>
      <c r="T429" s="407" t="str">
        <f t="shared" si="1684"/>
        <v>OK!</v>
      </c>
    </row>
    <row r="430" spans="1:20" x14ac:dyDescent="0.15">
      <c r="A430" s="565" t="str">
        <f>A$10</f>
        <v>Shpenzimet kapitale</v>
      </c>
      <c r="B430" s="566"/>
      <c r="C430" s="563">
        <f>C431-C428-C429</f>
        <v>0</v>
      </c>
      <c r="D430" s="561">
        <f>D431-D428-D429</f>
        <v>0</v>
      </c>
      <c r="E430" s="561">
        <f>E431-E428-E429</f>
        <v>0</v>
      </c>
      <c r="F430" s="407" t="str">
        <f t="shared" si="1670"/>
        <v>OK!</v>
      </c>
      <c r="G430" s="407" t="str">
        <f t="shared" si="1671"/>
        <v>OK!</v>
      </c>
      <c r="H430" s="407" t="str">
        <f t="shared" si="1672"/>
        <v>OK!</v>
      </c>
      <c r="I430" s="407" t="str">
        <f t="shared" si="1673"/>
        <v>OK!</v>
      </c>
      <c r="J430" s="407" t="str">
        <f t="shared" si="1674"/>
        <v>OK!</v>
      </c>
      <c r="K430" s="407" t="str">
        <f t="shared" si="1675"/>
        <v>OK!</v>
      </c>
      <c r="L430" s="407" t="str">
        <f t="shared" si="1676"/>
        <v>OK!</v>
      </c>
      <c r="M430" s="407" t="str">
        <f t="shared" si="1677"/>
        <v>OK!</v>
      </c>
      <c r="N430" s="407" t="str">
        <f t="shared" si="1678"/>
        <v>OK!</v>
      </c>
      <c r="O430" s="407" t="str">
        <f t="shared" si="1679"/>
        <v>OK!</v>
      </c>
      <c r="P430" s="407" t="str">
        <f t="shared" si="1680"/>
        <v>OK!</v>
      </c>
      <c r="Q430" s="407" t="str">
        <f t="shared" si="1681"/>
        <v>OK!</v>
      </c>
      <c r="R430" s="407" t="str">
        <f t="shared" si="1682"/>
        <v>OK!</v>
      </c>
      <c r="S430" s="407" t="str">
        <f t="shared" si="1683"/>
        <v>OK!</v>
      </c>
      <c r="T430" s="407" t="str">
        <f t="shared" si="1684"/>
        <v>OK!</v>
      </c>
    </row>
    <row r="431" spans="1:20" x14ac:dyDescent="0.15">
      <c r="A431" s="555" t="str">
        <f>A$11</f>
        <v>Tavanet e përgjithshme</v>
      </c>
      <c r="B431" s="556"/>
      <c r="C431" s="563">
        <f>C437+C443</f>
        <v>20100</v>
      </c>
      <c r="D431" s="563">
        <f t="shared" ref="D431:E431" si="1686">D437+D443</f>
        <v>20044</v>
      </c>
      <c r="E431" s="563">
        <f t="shared" si="1686"/>
        <v>20100</v>
      </c>
      <c r="F431" s="407" t="str">
        <f>IF(C431&lt;0,"STOPP!","OK!")</f>
        <v>OK!</v>
      </c>
      <c r="G431" s="407" t="str">
        <f t="shared" ref="G431:G432" si="1687">IF(D431&lt;0,"STOPP!","OK!")</f>
        <v>OK!</v>
      </c>
      <c r="H431" s="407" t="str">
        <f t="shared" ref="H431:H432" si="1688">IF(E431&lt;0,"STOPP!","OK!")</f>
        <v>OK!</v>
      </c>
      <c r="I431" s="407" t="str">
        <f t="shared" ref="I431:I432" si="1689">IF(F431&lt;0,"STOPP!","OK!")</f>
        <v>OK!</v>
      </c>
      <c r="J431" s="407" t="str">
        <f t="shared" ref="J431:J432" si="1690">IF(G431&lt;0,"STOPP!","OK!")</f>
        <v>OK!</v>
      </c>
      <c r="K431" s="407" t="str">
        <f t="shared" ref="K431:K432" si="1691">IF(H431&lt;0,"STOPP!","OK!")</f>
        <v>OK!</v>
      </c>
      <c r="L431" s="407" t="str">
        <f t="shared" ref="L431:L432" si="1692">IF(I431&lt;0,"STOPP!","OK!")</f>
        <v>OK!</v>
      </c>
      <c r="M431" s="407" t="str">
        <f t="shared" ref="M431:M432" si="1693">IF(J431&lt;0,"STOPP!","OK!")</f>
        <v>OK!</v>
      </c>
      <c r="N431" s="407" t="str">
        <f t="shared" ref="N431:N432" si="1694">IF(K431&lt;0,"STOPP!","OK!")</f>
        <v>OK!</v>
      </c>
      <c r="O431" s="407" t="str">
        <f t="shared" ref="O431:O432" si="1695">IF(L431&lt;0,"STOPP!","OK!")</f>
        <v>OK!</v>
      </c>
      <c r="P431" s="407" t="str">
        <f t="shared" ref="P431:P432" si="1696">IF(M431&lt;0,"STOPP!","OK!")</f>
        <v>OK!</v>
      </c>
      <c r="Q431" s="407" t="str">
        <f t="shared" ref="Q431:Q432" si="1697">IF(N431&lt;0,"STOPP!","OK!")</f>
        <v>OK!</v>
      </c>
      <c r="R431" s="407" t="str">
        <f t="shared" ref="R431:R432" si="1698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7" t="str">
        <f>A$12</f>
        <v>Angazhimet kujtesë</v>
      </c>
      <c r="B432" s="563"/>
      <c r="C432" s="563">
        <f>'(C5) Angazhimet'!D153</f>
        <v>0</v>
      </c>
      <c r="D432" s="561">
        <f>'(C5) Angazhimet'!E153</f>
        <v>0</v>
      </c>
      <c r="E432" s="561">
        <f>'(C5) Angazhimet'!F153</f>
        <v>0</v>
      </c>
      <c r="F432" s="407" t="str">
        <f>IF(C432&gt;C431,"STOPP!","OK!")</f>
        <v>OK!</v>
      </c>
      <c r="G432" s="407" t="str">
        <f t="shared" si="1687"/>
        <v>OK!</v>
      </c>
      <c r="H432" s="407" t="str">
        <f t="shared" si="1688"/>
        <v>OK!</v>
      </c>
      <c r="I432" s="407" t="str">
        <f t="shared" si="1689"/>
        <v>OK!</v>
      </c>
      <c r="J432" s="407" t="str">
        <f t="shared" si="1690"/>
        <v>OK!</v>
      </c>
      <c r="K432" s="407" t="str">
        <f t="shared" si="1691"/>
        <v>OK!</v>
      </c>
      <c r="L432" s="407" t="str">
        <f t="shared" si="1692"/>
        <v>OK!</v>
      </c>
      <c r="M432" s="407" t="str">
        <f t="shared" si="1693"/>
        <v>OK!</v>
      </c>
      <c r="N432" s="407" t="str">
        <f t="shared" si="1694"/>
        <v>OK!</v>
      </c>
      <c r="O432" s="407" t="str">
        <f t="shared" si="1695"/>
        <v>OK!</v>
      </c>
      <c r="P432" s="407" t="str">
        <f t="shared" si="1696"/>
        <v>OK!</v>
      </c>
      <c r="Q432" s="407" t="str">
        <f t="shared" si="1697"/>
        <v>OK!</v>
      </c>
      <c r="R432" s="407" t="str">
        <f t="shared" si="1698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7" t="str">
        <f>'(B3) Struktura Funksionale'!B132</f>
        <v>10430</v>
      </c>
      <c r="B433" s="891" t="str">
        <f>'(B3) Struktura Funksionale'!C132</f>
        <v>Kujdesi social për familjet dhe fëmijët</v>
      </c>
      <c r="C433" s="892"/>
      <c r="D433" s="892"/>
      <c r="E433" s="893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>
        <f>14896+2904</f>
        <v>17800</v>
      </c>
      <c r="D434" s="287">
        <f>14896+2904-56</f>
        <v>17744</v>
      </c>
      <c r="E434" s="287">
        <f t="shared" ref="E434" si="1699">14896+2904</f>
        <v>17800</v>
      </c>
      <c r="F434" s="407" t="str">
        <f t="shared" ref="F434:F436" si="1700">IF(C434&lt;0,"STOPP!","OK!")</f>
        <v>OK!</v>
      </c>
      <c r="G434" s="407" t="str">
        <f t="shared" ref="G434:G438" si="1701">IF(D434&lt;0,"STOPP!","OK!")</f>
        <v>OK!</v>
      </c>
      <c r="H434" s="407" t="str">
        <f t="shared" ref="H434:H438" si="1702">IF(E434&lt;0,"STOPP!","OK!")</f>
        <v>OK!</v>
      </c>
      <c r="I434" s="407" t="str">
        <f t="shared" ref="I434:I438" si="1703">IF(F434&lt;0,"STOPP!","OK!")</f>
        <v>OK!</v>
      </c>
      <c r="J434" s="407" t="str">
        <f t="shared" ref="J434:J438" si="1704">IF(G434&lt;0,"STOPP!","OK!")</f>
        <v>OK!</v>
      </c>
      <c r="K434" s="407" t="str">
        <f t="shared" ref="K434:K438" si="1705">IF(H434&lt;0,"STOPP!","OK!")</f>
        <v>OK!</v>
      </c>
      <c r="L434" s="407" t="str">
        <f t="shared" ref="L434:L438" si="1706">IF(I434&lt;0,"STOPP!","OK!")</f>
        <v>OK!</v>
      </c>
      <c r="M434" s="407" t="str">
        <f t="shared" ref="M434:M438" si="1707">IF(J434&lt;0,"STOPP!","OK!")</f>
        <v>OK!</v>
      </c>
      <c r="N434" s="407" t="str">
        <f t="shared" ref="N434:N438" si="1708">IF(K434&lt;0,"STOPP!","OK!")</f>
        <v>OK!</v>
      </c>
      <c r="O434" s="407" t="str">
        <f t="shared" ref="O434:O438" si="1709">IF(L434&lt;0,"STOPP!","OK!")</f>
        <v>OK!</v>
      </c>
      <c r="P434" s="407" t="str">
        <f t="shared" ref="P434:P438" si="1710">IF(M434&lt;0,"STOPP!","OK!")</f>
        <v>OK!</v>
      </c>
      <c r="Q434" s="407" t="str">
        <f t="shared" ref="Q434:Q438" si="1711">IF(N434&lt;0,"STOPP!","OK!")</f>
        <v>OK!</v>
      </c>
      <c r="R434" s="407" t="str">
        <f t="shared" ref="R434:R438" si="1712">IF(O434&lt;0,"STOPP!","OK!")</f>
        <v>OK!</v>
      </c>
      <c r="S434" s="407" t="str">
        <f t="shared" ref="S434:S436" si="1713">IF(D434&lt;0,"STOPP!","OK!")</f>
        <v>OK!</v>
      </c>
      <c r="T434" s="407" t="str">
        <f t="shared" ref="T434:T436" si="1714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2300</v>
      </c>
      <c r="D435" s="288">
        <v>2300</v>
      </c>
      <c r="E435" s="288">
        <v>2300</v>
      </c>
      <c r="F435" s="407" t="str">
        <f t="shared" si="1700"/>
        <v>OK!</v>
      </c>
      <c r="G435" s="407" t="str">
        <f t="shared" si="1701"/>
        <v>OK!</v>
      </c>
      <c r="H435" s="407" t="str">
        <f t="shared" si="1702"/>
        <v>OK!</v>
      </c>
      <c r="I435" s="407" t="str">
        <f t="shared" si="1703"/>
        <v>OK!</v>
      </c>
      <c r="J435" s="407" t="str">
        <f t="shared" si="1704"/>
        <v>OK!</v>
      </c>
      <c r="K435" s="407" t="str">
        <f t="shared" si="1705"/>
        <v>OK!</v>
      </c>
      <c r="L435" s="407" t="str">
        <f t="shared" si="1706"/>
        <v>OK!</v>
      </c>
      <c r="M435" s="407" t="str">
        <f t="shared" si="1707"/>
        <v>OK!</v>
      </c>
      <c r="N435" s="407" t="str">
        <f t="shared" si="1708"/>
        <v>OK!</v>
      </c>
      <c r="O435" s="407" t="str">
        <f t="shared" si="1709"/>
        <v>OK!</v>
      </c>
      <c r="P435" s="407" t="str">
        <f t="shared" si="1710"/>
        <v>OK!</v>
      </c>
      <c r="Q435" s="407" t="str">
        <f t="shared" si="1711"/>
        <v>OK!</v>
      </c>
      <c r="R435" s="407" t="str">
        <f t="shared" si="1712"/>
        <v>OK!</v>
      </c>
      <c r="S435" s="407" t="str">
        <f t="shared" si="1713"/>
        <v>OK!</v>
      </c>
      <c r="T435" s="407" t="str">
        <f t="shared" si="1714"/>
        <v>OK!</v>
      </c>
    </row>
    <row r="436" spans="1:20" x14ac:dyDescent="0.15">
      <c r="A436" s="565" t="str">
        <f>A$10</f>
        <v>Shpenzimet kapitale</v>
      </c>
      <c r="B436" s="566"/>
      <c r="C436" s="563">
        <f>C437-C434-C435</f>
        <v>0</v>
      </c>
      <c r="D436" s="561">
        <f>D437-D434-D435</f>
        <v>0</v>
      </c>
      <c r="E436" s="561">
        <f>E437-E434-E435</f>
        <v>0</v>
      </c>
      <c r="F436" s="407" t="str">
        <f t="shared" si="1700"/>
        <v>OK!</v>
      </c>
      <c r="G436" s="407" t="str">
        <f t="shared" si="1701"/>
        <v>OK!</v>
      </c>
      <c r="H436" s="407" t="str">
        <f t="shared" si="1702"/>
        <v>OK!</v>
      </c>
      <c r="I436" s="407" t="str">
        <f t="shared" si="1703"/>
        <v>OK!</v>
      </c>
      <c r="J436" s="407" t="str">
        <f t="shared" si="1704"/>
        <v>OK!</v>
      </c>
      <c r="K436" s="407" t="str">
        <f t="shared" si="1705"/>
        <v>OK!</v>
      </c>
      <c r="L436" s="407" t="str">
        <f t="shared" si="1706"/>
        <v>OK!</v>
      </c>
      <c r="M436" s="407" t="str">
        <f t="shared" si="1707"/>
        <v>OK!</v>
      </c>
      <c r="N436" s="407" t="str">
        <f t="shared" si="1708"/>
        <v>OK!</v>
      </c>
      <c r="O436" s="407" t="str">
        <f t="shared" si="1709"/>
        <v>OK!</v>
      </c>
      <c r="P436" s="407" t="str">
        <f t="shared" si="1710"/>
        <v>OK!</v>
      </c>
      <c r="Q436" s="407" t="str">
        <f t="shared" si="1711"/>
        <v>OK!</v>
      </c>
      <c r="R436" s="407" t="str">
        <f t="shared" si="1712"/>
        <v>OK!</v>
      </c>
      <c r="S436" s="407" t="str">
        <f t="shared" si="1713"/>
        <v>OK!</v>
      </c>
      <c r="T436" s="407" t="str">
        <f t="shared" si="1714"/>
        <v>OK!</v>
      </c>
    </row>
    <row r="437" spans="1:20" x14ac:dyDescent="0.15">
      <c r="A437" s="555" t="str">
        <f>A$11</f>
        <v>Tavanet e përgjithshme</v>
      </c>
      <c r="B437" s="556"/>
      <c r="C437" s="564">
        <v>20100</v>
      </c>
      <c r="D437" s="564">
        <f>20100-56</f>
        <v>20044</v>
      </c>
      <c r="E437" s="564">
        <v>20100</v>
      </c>
      <c r="F437" s="407" t="str">
        <f>IF(C437&lt;0,"STOPP!","OK!")</f>
        <v>OK!</v>
      </c>
      <c r="G437" s="407" t="str">
        <f t="shared" si="1701"/>
        <v>OK!</v>
      </c>
      <c r="H437" s="407" t="str">
        <f t="shared" si="1702"/>
        <v>OK!</v>
      </c>
      <c r="I437" s="407" t="str">
        <f t="shared" si="1703"/>
        <v>OK!</v>
      </c>
      <c r="J437" s="407" t="str">
        <f t="shared" si="1704"/>
        <v>OK!</v>
      </c>
      <c r="K437" s="407" t="str">
        <f t="shared" si="1705"/>
        <v>OK!</v>
      </c>
      <c r="L437" s="407" t="str">
        <f t="shared" si="1706"/>
        <v>OK!</v>
      </c>
      <c r="M437" s="407" t="str">
        <f t="shared" si="1707"/>
        <v>OK!</v>
      </c>
      <c r="N437" s="407" t="str">
        <f t="shared" si="1708"/>
        <v>OK!</v>
      </c>
      <c r="O437" s="407" t="str">
        <f t="shared" si="1709"/>
        <v>OK!</v>
      </c>
      <c r="P437" s="407" t="str">
        <f t="shared" si="1710"/>
        <v>OK!</v>
      </c>
      <c r="Q437" s="407" t="str">
        <f t="shared" si="1711"/>
        <v>OK!</v>
      </c>
      <c r="R437" s="407" t="str">
        <f t="shared" si="1712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7" t="str">
        <f>A$12</f>
        <v>Angazhimet kujtesë</v>
      </c>
      <c r="B438" s="563"/>
      <c r="C438" s="563">
        <f>'(C5) Angazhimet'!D150</f>
        <v>0</v>
      </c>
      <c r="D438" s="563">
        <f>'(C5) Angazhimet'!E150</f>
        <v>0</v>
      </c>
      <c r="E438" s="563">
        <f>'(C5) Angazhimet'!F150</f>
        <v>0</v>
      </c>
      <c r="F438" s="407" t="str">
        <f>IF(C438&gt;C437,"STOPP!","OK!")</f>
        <v>OK!</v>
      </c>
      <c r="G438" s="407" t="str">
        <f t="shared" si="1701"/>
        <v>OK!</v>
      </c>
      <c r="H438" s="407" t="str">
        <f t="shared" si="1702"/>
        <v>OK!</v>
      </c>
      <c r="I438" s="407" t="str">
        <f t="shared" si="1703"/>
        <v>OK!</v>
      </c>
      <c r="J438" s="407" t="str">
        <f t="shared" si="1704"/>
        <v>OK!</v>
      </c>
      <c r="K438" s="407" t="str">
        <f t="shared" si="1705"/>
        <v>OK!</v>
      </c>
      <c r="L438" s="407" t="str">
        <f t="shared" si="1706"/>
        <v>OK!</v>
      </c>
      <c r="M438" s="407" t="str">
        <f t="shared" si="1707"/>
        <v>OK!</v>
      </c>
      <c r="N438" s="407" t="str">
        <f t="shared" si="1708"/>
        <v>OK!</v>
      </c>
      <c r="O438" s="407" t="str">
        <f t="shared" si="1709"/>
        <v>OK!</v>
      </c>
      <c r="P438" s="407" t="str">
        <f t="shared" si="1710"/>
        <v>OK!</v>
      </c>
      <c r="Q438" s="407" t="str">
        <f t="shared" si="1711"/>
        <v>OK!</v>
      </c>
      <c r="R438" s="407" t="str">
        <f t="shared" si="1712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7" t="str">
        <f>'(B3) Struktura Funksionale'!B133</f>
        <v>10460</v>
      </c>
      <c r="B439" s="891" t="str">
        <f>'(B3) Struktura Funksionale'!C133</f>
        <v>Përfshirja sociale</v>
      </c>
      <c r="C439" s="892"/>
      <c r="D439" s="892"/>
      <c r="E439" s="893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715">IF(C440&lt;0,"STOPP!","OK!")</f>
        <v>OK!</v>
      </c>
      <c r="G440" s="407" t="str">
        <f t="shared" ref="G440:G444" si="1716">IF(D440&lt;0,"STOPP!","OK!")</f>
        <v>OK!</v>
      </c>
      <c r="H440" s="407" t="str">
        <f t="shared" ref="H440:H444" si="1717">IF(E440&lt;0,"STOPP!","OK!")</f>
        <v>OK!</v>
      </c>
      <c r="I440" s="407" t="str">
        <f t="shared" ref="I440:I444" si="1718">IF(F440&lt;0,"STOPP!","OK!")</f>
        <v>OK!</v>
      </c>
      <c r="J440" s="407" t="str">
        <f t="shared" ref="J440:J444" si="1719">IF(G440&lt;0,"STOPP!","OK!")</f>
        <v>OK!</v>
      </c>
      <c r="K440" s="407" t="str">
        <f t="shared" ref="K440:K444" si="1720">IF(H440&lt;0,"STOPP!","OK!")</f>
        <v>OK!</v>
      </c>
      <c r="L440" s="407" t="str">
        <f t="shared" ref="L440:L444" si="1721">IF(I440&lt;0,"STOPP!","OK!")</f>
        <v>OK!</v>
      </c>
      <c r="M440" s="407" t="str">
        <f t="shared" ref="M440:M444" si="1722">IF(J440&lt;0,"STOPP!","OK!")</f>
        <v>OK!</v>
      </c>
      <c r="N440" s="407" t="str">
        <f t="shared" ref="N440:N444" si="1723">IF(K440&lt;0,"STOPP!","OK!")</f>
        <v>OK!</v>
      </c>
      <c r="O440" s="407" t="str">
        <f t="shared" ref="O440:O444" si="1724">IF(L440&lt;0,"STOPP!","OK!")</f>
        <v>OK!</v>
      </c>
      <c r="P440" s="407" t="str">
        <f t="shared" ref="P440:P444" si="1725">IF(M440&lt;0,"STOPP!","OK!")</f>
        <v>OK!</v>
      </c>
      <c r="Q440" s="407" t="str">
        <f t="shared" ref="Q440:Q444" si="1726">IF(N440&lt;0,"STOPP!","OK!")</f>
        <v>OK!</v>
      </c>
      <c r="R440" s="407" t="str">
        <f t="shared" ref="R440:R444" si="1727">IF(O440&lt;0,"STOPP!","OK!")</f>
        <v>OK!</v>
      </c>
      <c r="S440" s="407" t="str">
        <f t="shared" ref="S440:S442" si="1728">IF(D440&lt;0,"STOPP!","OK!")</f>
        <v>OK!</v>
      </c>
      <c r="T440" s="407" t="str">
        <f t="shared" ref="T440:T442" si="1729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715"/>
        <v>OK!</v>
      </c>
      <c r="G441" s="407" t="str">
        <f t="shared" si="1716"/>
        <v>OK!</v>
      </c>
      <c r="H441" s="407" t="str">
        <f t="shared" si="1717"/>
        <v>OK!</v>
      </c>
      <c r="I441" s="407" t="str">
        <f t="shared" si="1718"/>
        <v>OK!</v>
      </c>
      <c r="J441" s="407" t="str">
        <f t="shared" si="1719"/>
        <v>OK!</v>
      </c>
      <c r="K441" s="407" t="str">
        <f t="shared" si="1720"/>
        <v>OK!</v>
      </c>
      <c r="L441" s="407" t="str">
        <f t="shared" si="1721"/>
        <v>OK!</v>
      </c>
      <c r="M441" s="407" t="str">
        <f t="shared" si="1722"/>
        <v>OK!</v>
      </c>
      <c r="N441" s="407" t="str">
        <f t="shared" si="1723"/>
        <v>OK!</v>
      </c>
      <c r="O441" s="407" t="str">
        <f t="shared" si="1724"/>
        <v>OK!</v>
      </c>
      <c r="P441" s="407" t="str">
        <f t="shared" si="1725"/>
        <v>OK!</v>
      </c>
      <c r="Q441" s="407" t="str">
        <f t="shared" si="1726"/>
        <v>OK!</v>
      </c>
      <c r="R441" s="407" t="str">
        <f t="shared" si="1727"/>
        <v>OK!</v>
      </c>
      <c r="S441" s="407" t="str">
        <f t="shared" si="1728"/>
        <v>OK!</v>
      </c>
      <c r="T441" s="407" t="str">
        <f t="shared" si="1729"/>
        <v>OK!</v>
      </c>
    </row>
    <row r="442" spans="1:20" hidden="1" x14ac:dyDescent="0.15">
      <c r="A442" s="565" t="str">
        <f>A$10</f>
        <v>Shpenzimet kapitale</v>
      </c>
      <c r="B442" s="566"/>
      <c r="C442" s="563">
        <f>C443-C440-C441</f>
        <v>0</v>
      </c>
      <c r="D442" s="561">
        <f>D443-D440-D441</f>
        <v>0</v>
      </c>
      <c r="E442" s="561">
        <f>E443-E440-E441</f>
        <v>0</v>
      </c>
      <c r="F442" s="407" t="str">
        <f t="shared" si="1715"/>
        <v>OK!</v>
      </c>
      <c r="G442" s="407" t="str">
        <f t="shared" si="1716"/>
        <v>OK!</v>
      </c>
      <c r="H442" s="407" t="str">
        <f t="shared" si="1717"/>
        <v>OK!</v>
      </c>
      <c r="I442" s="407" t="str">
        <f t="shared" si="1718"/>
        <v>OK!</v>
      </c>
      <c r="J442" s="407" t="str">
        <f t="shared" si="1719"/>
        <v>OK!</v>
      </c>
      <c r="K442" s="407" t="str">
        <f t="shared" si="1720"/>
        <v>OK!</v>
      </c>
      <c r="L442" s="407" t="str">
        <f t="shared" si="1721"/>
        <v>OK!</v>
      </c>
      <c r="M442" s="407" t="str">
        <f t="shared" si="1722"/>
        <v>OK!</v>
      </c>
      <c r="N442" s="407" t="str">
        <f t="shared" si="1723"/>
        <v>OK!</v>
      </c>
      <c r="O442" s="407" t="str">
        <f t="shared" si="1724"/>
        <v>OK!</v>
      </c>
      <c r="P442" s="407" t="str">
        <f t="shared" si="1725"/>
        <v>OK!</v>
      </c>
      <c r="Q442" s="407" t="str">
        <f t="shared" si="1726"/>
        <v>OK!</v>
      </c>
      <c r="R442" s="407" t="str">
        <f t="shared" si="1727"/>
        <v>OK!</v>
      </c>
      <c r="S442" s="407" t="str">
        <f t="shared" si="1728"/>
        <v>OK!</v>
      </c>
      <c r="T442" s="407" t="str">
        <f t="shared" si="1729"/>
        <v>OK!</v>
      </c>
    </row>
    <row r="443" spans="1:20" hidden="1" x14ac:dyDescent="0.15">
      <c r="A443" s="555" t="str">
        <f>A$11</f>
        <v>Tavanet e përgjithshme</v>
      </c>
      <c r="B443" s="556"/>
      <c r="C443" s="564"/>
      <c r="D443" s="562"/>
      <c r="E443" s="562"/>
      <c r="F443" s="407" t="str">
        <f>IF(C443&lt;0,"STOPP!","OK!")</f>
        <v>OK!</v>
      </c>
      <c r="G443" s="407" t="str">
        <f t="shared" si="1716"/>
        <v>OK!</v>
      </c>
      <c r="H443" s="407" t="str">
        <f t="shared" si="1717"/>
        <v>OK!</v>
      </c>
      <c r="I443" s="407" t="str">
        <f t="shared" si="1718"/>
        <v>OK!</v>
      </c>
      <c r="J443" s="407" t="str">
        <f t="shared" si="1719"/>
        <v>OK!</v>
      </c>
      <c r="K443" s="407" t="str">
        <f t="shared" si="1720"/>
        <v>OK!</v>
      </c>
      <c r="L443" s="407" t="str">
        <f t="shared" si="1721"/>
        <v>OK!</v>
      </c>
      <c r="M443" s="407" t="str">
        <f t="shared" si="1722"/>
        <v>OK!</v>
      </c>
      <c r="N443" s="407" t="str">
        <f t="shared" si="1723"/>
        <v>OK!</v>
      </c>
      <c r="O443" s="407" t="str">
        <f t="shared" si="1724"/>
        <v>OK!</v>
      </c>
      <c r="P443" s="407" t="str">
        <f t="shared" si="1725"/>
        <v>OK!</v>
      </c>
      <c r="Q443" s="407" t="str">
        <f t="shared" si="1726"/>
        <v>OK!</v>
      </c>
      <c r="R443" s="407" t="str">
        <f t="shared" si="1727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7" t="str">
        <f>A$12</f>
        <v>Angazhimet kujtesë</v>
      </c>
      <c r="B444" s="563"/>
      <c r="C444" s="563">
        <f>'(C5) Angazhimet'!D151</f>
        <v>0</v>
      </c>
      <c r="D444" s="563">
        <f>'(C5) Angazhimet'!E151</f>
        <v>0</v>
      </c>
      <c r="E444" s="563">
        <f>'(C5) Angazhimet'!F151</f>
        <v>0</v>
      </c>
      <c r="F444" s="407" t="str">
        <f>IF(C444&gt;C443,"STOPP!","OK!")</f>
        <v>OK!</v>
      </c>
      <c r="G444" s="407" t="str">
        <f t="shared" si="1716"/>
        <v>OK!</v>
      </c>
      <c r="H444" s="407" t="str">
        <f t="shared" si="1717"/>
        <v>OK!</v>
      </c>
      <c r="I444" s="407" t="str">
        <f t="shared" si="1718"/>
        <v>OK!</v>
      </c>
      <c r="J444" s="407" t="str">
        <f t="shared" si="1719"/>
        <v>OK!</v>
      </c>
      <c r="K444" s="407" t="str">
        <f t="shared" si="1720"/>
        <v>OK!</v>
      </c>
      <c r="L444" s="407" t="str">
        <f t="shared" si="1721"/>
        <v>OK!</v>
      </c>
      <c r="M444" s="407" t="str">
        <f t="shared" si="1722"/>
        <v>OK!</v>
      </c>
      <c r="N444" s="407" t="str">
        <f t="shared" si="1723"/>
        <v>OK!</v>
      </c>
      <c r="O444" s="407" t="str">
        <f t="shared" si="1724"/>
        <v>OK!</v>
      </c>
      <c r="P444" s="407" t="str">
        <f t="shared" si="1725"/>
        <v>OK!</v>
      </c>
      <c r="Q444" s="407" t="str">
        <f t="shared" si="1726"/>
        <v>OK!</v>
      </c>
      <c r="R444" s="407" t="str">
        <f t="shared" si="1727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6" t="str">
        <f>'(B2) Struktura Organizative'!A66</f>
        <v>Nënfunksioni 26</v>
      </c>
      <c r="B445" s="894" t="str">
        <f>'(B2) Struktura Organizative'!B66</f>
        <v>105 Papunësia</v>
      </c>
      <c r="C445" s="895"/>
      <c r="D445" s="895"/>
      <c r="E445" s="896"/>
      <c r="G445" s="312">
        <f>C449</f>
        <v>0</v>
      </c>
      <c r="H445" s="312">
        <f t="shared" ref="H445" si="1730">D449</f>
        <v>0</v>
      </c>
      <c r="I445" s="312">
        <f t="shared" ref="I445" si="1731">E449</f>
        <v>0</v>
      </c>
      <c r="J445" s="312">
        <f>C446</f>
        <v>0</v>
      </c>
      <c r="K445" s="312">
        <f t="shared" ref="K445" si="1732">D446</f>
        <v>0</v>
      </c>
      <c r="L445" s="312">
        <f t="shared" ref="L445" si="1733">E446</f>
        <v>0</v>
      </c>
      <c r="M445" s="312">
        <f>C447</f>
        <v>0</v>
      </c>
      <c r="N445" s="312">
        <f t="shared" ref="N445" si="1734">D447</f>
        <v>0</v>
      </c>
      <c r="O445" s="312">
        <f t="shared" ref="O445" si="1735">E447</f>
        <v>0</v>
      </c>
      <c r="P445" s="312">
        <f>C448</f>
        <v>0</v>
      </c>
      <c r="Q445" s="312">
        <f t="shared" ref="Q445" si="1736">D448</f>
        <v>0</v>
      </c>
      <c r="R445" s="312">
        <f t="shared" ref="R445" si="1737">E448</f>
        <v>0</v>
      </c>
    </row>
    <row r="446" spans="1:20" x14ac:dyDescent="0.15">
      <c r="A446" s="286" t="str">
        <f>A$8</f>
        <v>Pagat dhe sigurimet shoqërore</v>
      </c>
      <c r="B446" s="286"/>
      <c r="C446" s="563">
        <f>C452</f>
        <v>0</v>
      </c>
      <c r="D446" s="563">
        <f t="shared" ref="D446:E446" si="1738">D452</f>
        <v>0</v>
      </c>
      <c r="E446" s="563">
        <f t="shared" si="1738"/>
        <v>0</v>
      </c>
      <c r="F446" s="407" t="str">
        <f t="shared" ref="F446:F448" si="1739">IF(C446&lt;0,"STOPP!","OK!")</f>
        <v>OK!</v>
      </c>
      <c r="G446" s="407" t="str">
        <f t="shared" ref="G446:G448" si="1740">IF(D446&lt;0,"STOPP!","OK!")</f>
        <v>OK!</v>
      </c>
      <c r="H446" s="407" t="str">
        <f t="shared" ref="H446:H448" si="1741">IF(E446&lt;0,"STOPP!","OK!")</f>
        <v>OK!</v>
      </c>
      <c r="I446" s="407" t="str">
        <f t="shared" ref="I446:I448" si="1742">IF(F446&lt;0,"STOPP!","OK!")</f>
        <v>OK!</v>
      </c>
      <c r="J446" s="407" t="str">
        <f t="shared" ref="J446:J448" si="1743">IF(G446&lt;0,"STOPP!","OK!")</f>
        <v>OK!</v>
      </c>
      <c r="K446" s="407" t="str">
        <f t="shared" ref="K446:K448" si="1744">IF(H446&lt;0,"STOPP!","OK!")</f>
        <v>OK!</v>
      </c>
      <c r="L446" s="407" t="str">
        <f t="shared" ref="L446:L448" si="1745">IF(I446&lt;0,"STOPP!","OK!")</f>
        <v>OK!</v>
      </c>
      <c r="M446" s="407" t="str">
        <f t="shared" ref="M446:M448" si="1746">IF(J446&lt;0,"STOPP!","OK!")</f>
        <v>OK!</v>
      </c>
      <c r="N446" s="407" t="str">
        <f t="shared" ref="N446:N448" si="1747">IF(K446&lt;0,"STOPP!","OK!")</f>
        <v>OK!</v>
      </c>
      <c r="O446" s="407" t="str">
        <f t="shared" ref="O446:O448" si="1748">IF(L446&lt;0,"STOPP!","OK!")</f>
        <v>OK!</v>
      </c>
      <c r="P446" s="407" t="str">
        <f t="shared" ref="P446:P448" si="1749">IF(M446&lt;0,"STOPP!","OK!")</f>
        <v>OK!</v>
      </c>
      <c r="Q446" s="407" t="str">
        <f t="shared" ref="Q446:Q448" si="1750">IF(N446&lt;0,"STOPP!","OK!")</f>
        <v>OK!</v>
      </c>
      <c r="R446" s="407" t="str">
        <f t="shared" ref="R446:R448" si="1751">IF(O446&lt;0,"STOPP!","OK!")</f>
        <v>OK!</v>
      </c>
      <c r="S446" s="407" t="str">
        <f t="shared" ref="S446:S448" si="1752">IF(D446&lt;0,"STOPP!","OK!")</f>
        <v>OK!</v>
      </c>
      <c r="T446" s="407" t="str">
        <f t="shared" ref="T446:T448" si="1753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3">
        <f>C453</f>
        <v>0</v>
      </c>
      <c r="D447" s="563">
        <f t="shared" ref="D447:E447" si="1754">D453</f>
        <v>0</v>
      </c>
      <c r="E447" s="563">
        <f t="shared" si="1754"/>
        <v>0</v>
      </c>
      <c r="F447" s="407" t="str">
        <f t="shared" si="1739"/>
        <v>OK!</v>
      </c>
      <c r="G447" s="407" t="str">
        <f t="shared" si="1740"/>
        <v>OK!</v>
      </c>
      <c r="H447" s="407" t="str">
        <f t="shared" si="1741"/>
        <v>OK!</v>
      </c>
      <c r="I447" s="407" t="str">
        <f t="shared" si="1742"/>
        <v>OK!</v>
      </c>
      <c r="J447" s="407" t="str">
        <f t="shared" si="1743"/>
        <v>OK!</v>
      </c>
      <c r="K447" s="407" t="str">
        <f t="shared" si="1744"/>
        <v>OK!</v>
      </c>
      <c r="L447" s="407" t="str">
        <f t="shared" si="1745"/>
        <v>OK!</v>
      </c>
      <c r="M447" s="407" t="str">
        <f t="shared" si="1746"/>
        <v>OK!</v>
      </c>
      <c r="N447" s="407" t="str">
        <f t="shared" si="1747"/>
        <v>OK!</v>
      </c>
      <c r="O447" s="407" t="str">
        <f t="shared" si="1748"/>
        <v>OK!</v>
      </c>
      <c r="P447" s="407" t="str">
        <f t="shared" si="1749"/>
        <v>OK!</v>
      </c>
      <c r="Q447" s="407" t="str">
        <f t="shared" si="1750"/>
        <v>OK!</v>
      </c>
      <c r="R447" s="407" t="str">
        <f t="shared" si="1751"/>
        <v>OK!</v>
      </c>
      <c r="S447" s="407" t="str">
        <f t="shared" si="1752"/>
        <v>OK!</v>
      </c>
      <c r="T447" s="407" t="str">
        <f t="shared" si="1753"/>
        <v>OK!</v>
      </c>
    </row>
    <row r="448" spans="1:20" x14ac:dyDescent="0.15">
      <c r="A448" s="565" t="str">
        <f>A$10</f>
        <v>Shpenzimet kapitale</v>
      </c>
      <c r="B448" s="566"/>
      <c r="C448" s="563">
        <f>C449-C446-C447</f>
        <v>0</v>
      </c>
      <c r="D448" s="561">
        <f>D449-D446-D447</f>
        <v>0</v>
      </c>
      <c r="E448" s="561">
        <f>E449-E446-E447</f>
        <v>0</v>
      </c>
      <c r="F448" s="407" t="str">
        <f t="shared" si="1739"/>
        <v>OK!</v>
      </c>
      <c r="G448" s="407" t="str">
        <f t="shared" si="1740"/>
        <v>OK!</v>
      </c>
      <c r="H448" s="407" t="str">
        <f t="shared" si="1741"/>
        <v>OK!</v>
      </c>
      <c r="I448" s="407" t="str">
        <f t="shared" si="1742"/>
        <v>OK!</v>
      </c>
      <c r="J448" s="407" t="str">
        <f t="shared" si="1743"/>
        <v>OK!</v>
      </c>
      <c r="K448" s="407" t="str">
        <f t="shared" si="1744"/>
        <v>OK!</v>
      </c>
      <c r="L448" s="407" t="str">
        <f t="shared" si="1745"/>
        <v>OK!</v>
      </c>
      <c r="M448" s="407" t="str">
        <f t="shared" si="1746"/>
        <v>OK!</v>
      </c>
      <c r="N448" s="407" t="str">
        <f t="shared" si="1747"/>
        <v>OK!</v>
      </c>
      <c r="O448" s="407" t="str">
        <f t="shared" si="1748"/>
        <v>OK!</v>
      </c>
      <c r="P448" s="407" t="str">
        <f t="shared" si="1749"/>
        <v>OK!</v>
      </c>
      <c r="Q448" s="407" t="str">
        <f t="shared" si="1750"/>
        <v>OK!</v>
      </c>
      <c r="R448" s="407" t="str">
        <f t="shared" si="1751"/>
        <v>OK!</v>
      </c>
      <c r="S448" s="407" t="str">
        <f t="shared" si="1752"/>
        <v>OK!</v>
      </c>
      <c r="T448" s="407" t="str">
        <f t="shared" si="1753"/>
        <v>OK!</v>
      </c>
    </row>
    <row r="449" spans="1:20" x14ac:dyDescent="0.15">
      <c r="A449" s="555" t="str">
        <f>A$11</f>
        <v>Tavanet e përgjithshme</v>
      </c>
      <c r="B449" s="556"/>
      <c r="C449" s="563">
        <f>C455</f>
        <v>0</v>
      </c>
      <c r="D449" s="563">
        <f t="shared" ref="D449:E449" si="1755">D455</f>
        <v>0</v>
      </c>
      <c r="E449" s="563">
        <f t="shared" si="1755"/>
        <v>0</v>
      </c>
      <c r="F449" s="407" t="str">
        <f>IF(C449&lt;0,"STOPP!","OK!")</f>
        <v>OK!</v>
      </c>
      <c r="G449" s="407" t="str">
        <f t="shared" ref="G449:G450" si="1756">IF(D449&lt;0,"STOPP!","OK!")</f>
        <v>OK!</v>
      </c>
      <c r="H449" s="407" t="str">
        <f t="shared" ref="H449:H450" si="1757">IF(E449&lt;0,"STOPP!","OK!")</f>
        <v>OK!</v>
      </c>
      <c r="I449" s="407" t="str">
        <f t="shared" ref="I449:I450" si="1758">IF(F449&lt;0,"STOPP!","OK!")</f>
        <v>OK!</v>
      </c>
      <c r="J449" s="407" t="str">
        <f t="shared" ref="J449:J450" si="1759">IF(G449&lt;0,"STOPP!","OK!")</f>
        <v>OK!</v>
      </c>
      <c r="K449" s="407" t="str">
        <f t="shared" ref="K449:K450" si="1760">IF(H449&lt;0,"STOPP!","OK!")</f>
        <v>OK!</v>
      </c>
      <c r="L449" s="407" t="str">
        <f t="shared" ref="L449:L450" si="1761">IF(I449&lt;0,"STOPP!","OK!")</f>
        <v>OK!</v>
      </c>
      <c r="M449" s="407" t="str">
        <f t="shared" ref="M449:M450" si="1762">IF(J449&lt;0,"STOPP!","OK!")</f>
        <v>OK!</v>
      </c>
      <c r="N449" s="407" t="str">
        <f t="shared" ref="N449:N450" si="1763">IF(K449&lt;0,"STOPP!","OK!")</f>
        <v>OK!</v>
      </c>
      <c r="O449" s="407" t="str">
        <f t="shared" ref="O449:O450" si="1764">IF(L449&lt;0,"STOPP!","OK!")</f>
        <v>OK!</v>
      </c>
      <c r="P449" s="407" t="str">
        <f t="shared" ref="P449:P450" si="1765">IF(M449&lt;0,"STOPP!","OK!")</f>
        <v>OK!</v>
      </c>
      <c r="Q449" s="407" t="str">
        <f t="shared" ref="Q449:Q450" si="1766">IF(N449&lt;0,"STOPP!","OK!")</f>
        <v>OK!</v>
      </c>
      <c r="R449" s="407" t="str">
        <f t="shared" ref="R449:R450" si="1767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7" t="str">
        <f>A$12</f>
        <v>Angazhimet kujtesë</v>
      </c>
      <c r="B450" s="563"/>
      <c r="C450" s="563">
        <f>'(C5) Angazhimet'!D158</f>
        <v>0</v>
      </c>
      <c r="D450" s="561">
        <f>'(C5) Angazhimet'!E158</f>
        <v>0</v>
      </c>
      <c r="E450" s="561">
        <f>'(C5) Angazhimet'!F158</f>
        <v>0</v>
      </c>
      <c r="F450" s="407" t="str">
        <f>IF(C450&gt;C449,"STOPP!","OK!")</f>
        <v>OK!</v>
      </c>
      <c r="G450" s="407" t="str">
        <f t="shared" si="1756"/>
        <v>OK!</v>
      </c>
      <c r="H450" s="407" t="str">
        <f t="shared" si="1757"/>
        <v>OK!</v>
      </c>
      <c r="I450" s="407" t="str">
        <f t="shared" si="1758"/>
        <v>OK!</v>
      </c>
      <c r="J450" s="407" t="str">
        <f t="shared" si="1759"/>
        <v>OK!</v>
      </c>
      <c r="K450" s="407" t="str">
        <f t="shared" si="1760"/>
        <v>OK!</v>
      </c>
      <c r="L450" s="407" t="str">
        <f t="shared" si="1761"/>
        <v>OK!</v>
      </c>
      <c r="M450" s="407" t="str">
        <f t="shared" si="1762"/>
        <v>OK!</v>
      </c>
      <c r="N450" s="407" t="str">
        <f t="shared" si="1763"/>
        <v>OK!</v>
      </c>
      <c r="O450" s="407" t="str">
        <f t="shared" si="1764"/>
        <v>OK!</v>
      </c>
      <c r="P450" s="407" t="str">
        <f t="shared" si="1765"/>
        <v>OK!</v>
      </c>
      <c r="Q450" s="407" t="str">
        <f t="shared" si="1766"/>
        <v>OK!</v>
      </c>
      <c r="R450" s="407" t="str">
        <f t="shared" si="1767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7" t="str">
        <f>'(B3) Struktura Funksionale'!B136</f>
        <v>10550</v>
      </c>
      <c r="B451" s="891" t="str">
        <f>'(B3) Struktura Funksionale'!C136</f>
        <v>Papunësia, arsim dhe aftësim</v>
      </c>
      <c r="C451" s="892"/>
      <c r="D451" s="892"/>
      <c r="E451" s="893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68">IF(C452&lt;0,"STOPP!","OK!")</f>
        <v>OK!</v>
      </c>
      <c r="G452" s="407" t="str">
        <f t="shared" ref="G452:G456" si="1769">IF(D452&lt;0,"STOPP!","OK!")</f>
        <v>OK!</v>
      </c>
      <c r="H452" s="407" t="str">
        <f t="shared" ref="H452:H456" si="1770">IF(E452&lt;0,"STOPP!","OK!")</f>
        <v>OK!</v>
      </c>
      <c r="I452" s="407" t="str">
        <f t="shared" ref="I452:I456" si="1771">IF(F452&lt;0,"STOPP!","OK!")</f>
        <v>OK!</v>
      </c>
      <c r="J452" s="407" t="str">
        <f t="shared" ref="J452:J456" si="1772">IF(G452&lt;0,"STOPP!","OK!")</f>
        <v>OK!</v>
      </c>
      <c r="K452" s="407" t="str">
        <f t="shared" ref="K452:K456" si="1773">IF(H452&lt;0,"STOPP!","OK!")</f>
        <v>OK!</v>
      </c>
      <c r="L452" s="407" t="str">
        <f t="shared" ref="L452:L456" si="1774">IF(I452&lt;0,"STOPP!","OK!")</f>
        <v>OK!</v>
      </c>
      <c r="M452" s="407" t="str">
        <f t="shared" ref="M452:M456" si="1775">IF(J452&lt;0,"STOPP!","OK!")</f>
        <v>OK!</v>
      </c>
      <c r="N452" s="407" t="str">
        <f t="shared" ref="N452:N456" si="1776">IF(K452&lt;0,"STOPP!","OK!")</f>
        <v>OK!</v>
      </c>
      <c r="O452" s="407" t="str">
        <f t="shared" ref="O452:O456" si="1777">IF(L452&lt;0,"STOPP!","OK!")</f>
        <v>OK!</v>
      </c>
      <c r="P452" s="407" t="str">
        <f t="shared" ref="P452:P456" si="1778">IF(M452&lt;0,"STOPP!","OK!")</f>
        <v>OK!</v>
      </c>
      <c r="Q452" s="407" t="str">
        <f t="shared" ref="Q452:Q456" si="1779">IF(N452&lt;0,"STOPP!","OK!")</f>
        <v>OK!</v>
      </c>
      <c r="R452" s="407" t="str">
        <f t="shared" ref="R452:R456" si="1780">IF(O452&lt;0,"STOPP!","OK!")</f>
        <v>OK!</v>
      </c>
      <c r="S452" s="407" t="str">
        <f t="shared" ref="S452:S454" si="1781">IF(D452&lt;0,"STOPP!","OK!")</f>
        <v>OK!</v>
      </c>
      <c r="T452" s="407" t="str">
        <f t="shared" ref="T452:T454" si="1782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68"/>
        <v>OK!</v>
      </c>
      <c r="G453" s="407" t="str">
        <f t="shared" si="1769"/>
        <v>OK!</v>
      </c>
      <c r="H453" s="407" t="str">
        <f t="shared" si="1770"/>
        <v>OK!</v>
      </c>
      <c r="I453" s="407" t="str">
        <f t="shared" si="1771"/>
        <v>OK!</v>
      </c>
      <c r="J453" s="407" t="str">
        <f t="shared" si="1772"/>
        <v>OK!</v>
      </c>
      <c r="K453" s="407" t="str">
        <f t="shared" si="1773"/>
        <v>OK!</v>
      </c>
      <c r="L453" s="407" t="str">
        <f t="shared" si="1774"/>
        <v>OK!</v>
      </c>
      <c r="M453" s="407" t="str">
        <f t="shared" si="1775"/>
        <v>OK!</v>
      </c>
      <c r="N453" s="407" t="str">
        <f t="shared" si="1776"/>
        <v>OK!</v>
      </c>
      <c r="O453" s="407" t="str">
        <f t="shared" si="1777"/>
        <v>OK!</v>
      </c>
      <c r="P453" s="407" t="str">
        <f t="shared" si="1778"/>
        <v>OK!</v>
      </c>
      <c r="Q453" s="407" t="str">
        <f t="shared" si="1779"/>
        <v>OK!</v>
      </c>
      <c r="R453" s="407" t="str">
        <f t="shared" si="1780"/>
        <v>OK!</v>
      </c>
      <c r="S453" s="407" t="str">
        <f t="shared" si="1781"/>
        <v>OK!</v>
      </c>
      <c r="T453" s="407" t="str">
        <f t="shared" si="1782"/>
        <v>OK!</v>
      </c>
    </row>
    <row r="454" spans="1:20" x14ac:dyDescent="0.15">
      <c r="A454" s="565" t="str">
        <f>A$10</f>
        <v>Shpenzimet kapitale</v>
      </c>
      <c r="B454" s="566"/>
      <c r="C454" s="563">
        <f>C455-C452-C453</f>
        <v>0</v>
      </c>
      <c r="D454" s="561">
        <f>D455-D452-D453</f>
        <v>0</v>
      </c>
      <c r="E454" s="561">
        <f>E455-E452-E453</f>
        <v>0</v>
      </c>
      <c r="F454" s="407" t="str">
        <f t="shared" si="1768"/>
        <v>OK!</v>
      </c>
      <c r="G454" s="407" t="str">
        <f t="shared" si="1769"/>
        <v>OK!</v>
      </c>
      <c r="H454" s="407" t="str">
        <f t="shared" si="1770"/>
        <v>OK!</v>
      </c>
      <c r="I454" s="407" t="str">
        <f t="shared" si="1771"/>
        <v>OK!</v>
      </c>
      <c r="J454" s="407" t="str">
        <f t="shared" si="1772"/>
        <v>OK!</v>
      </c>
      <c r="K454" s="407" t="str">
        <f t="shared" si="1773"/>
        <v>OK!</v>
      </c>
      <c r="L454" s="407" t="str">
        <f t="shared" si="1774"/>
        <v>OK!</v>
      </c>
      <c r="M454" s="407" t="str">
        <f t="shared" si="1775"/>
        <v>OK!</v>
      </c>
      <c r="N454" s="407" t="str">
        <f t="shared" si="1776"/>
        <v>OK!</v>
      </c>
      <c r="O454" s="407" t="str">
        <f t="shared" si="1777"/>
        <v>OK!</v>
      </c>
      <c r="P454" s="407" t="str">
        <f t="shared" si="1778"/>
        <v>OK!</v>
      </c>
      <c r="Q454" s="407" t="str">
        <f t="shared" si="1779"/>
        <v>OK!</v>
      </c>
      <c r="R454" s="407" t="str">
        <f t="shared" si="1780"/>
        <v>OK!</v>
      </c>
      <c r="S454" s="407" t="str">
        <f t="shared" si="1781"/>
        <v>OK!</v>
      </c>
      <c r="T454" s="407" t="str">
        <f t="shared" si="1782"/>
        <v>OK!</v>
      </c>
    </row>
    <row r="455" spans="1:20" x14ac:dyDescent="0.15">
      <c r="A455" s="555" t="str">
        <f>A$11</f>
        <v>Tavanet e përgjithshme</v>
      </c>
      <c r="B455" s="556"/>
      <c r="C455" s="564"/>
      <c r="D455" s="562"/>
      <c r="E455" s="562"/>
      <c r="F455" s="407" t="str">
        <f>IF(C455&lt;0,"STOPP!","OK!")</f>
        <v>OK!</v>
      </c>
      <c r="G455" s="407" t="str">
        <f t="shared" si="1769"/>
        <v>OK!</v>
      </c>
      <c r="H455" s="407" t="str">
        <f t="shared" si="1770"/>
        <v>OK!</v>
      </c>
      <c r="I455" s="407" t="str">
        <f t="shared" si="1771"/>
        <v>OK!</v>
      </c>
      <c r="J455" s="407" t="str">
        <f t="shared" si="1772"/>
        <v>OK!</v>
      </c>
      <c r="K455" s="407" t="str">
        <f t="shared" si="1773"/>
        <v>OK!</v>
      </c>
      <c r="L455" s="407" t="str">
        <f t="shared" si="1774"/>
        <v>OK!</v>
      </c>
      <c r="M455" s="407" t="str">
        <f t="shared" si="1775"/>
        <v>OK!</v>
      </c>
      <c r="N455" s="407" t="str">
        <f t="shared" si="1776"/>
        <v>OK!</v>
      </c>
      <c r="O455" s="407" t="str">
        <f t="shared" si="1777"/>
        <v>OK!</v>
      </c>
      <c r="P455" s="407" t="str">
        <f t="shared" si="1778"/>
        <v>OK!</v>
      </c>
      <c r="Q455" s="407" t="str">
        <f t="shared" si="1779"/>
        <v>OK!</v>
      </c>
      <c r="R455" s="407" t="str">
        <f t="shared" si="1780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7" t="str">
        <f>A$12</f>
        <v>Angazhimet kujtesë</v>
      </c>
      <c r="B456" s="563"/>
      <c r="C456" s="563">
        <f>'(C5) Angazhimet'!D155</f>
        <v>0</v>
      </c>
      <c r="D456" s="563">
        <f>'(C5) Angazhimet'!E155</f>
        <v>0</v>
      </c>
      <c r="E456" s="563">
        <f>'(C5) Angazhimet'!F155</f>
        <v>0</v>
      </c>
      <c r="F456" s="407" t="str">
        <f>IF(C456&gt;C455,"STOPP!","OK!")</f>
        <v>OK!</v>
      </c>
      <c r="G456" s="407" t="str">
        <f t="shared" si="1769"/>
        <v>OK!</v>
      </c>
      <c r="H456" s="407" t="str">
        <f t="shared" si="1770"/>
        <v>OK!</v>
      </c>
      <c r="I456" s="407" t="str">
        <f t="shared" si="1771"/>
        <v>OK!</v>
      </c>
      <c r="J456" s="407" t="str">
        <f t="shared" si="1772"/>
        <v>OK!</v>
      </c>
      <c r="K456" s="407" t="str">
        <f t="shared" si="1773"/>
        <v>OK!</v>
      </c>
      <c r="L456" s="407" t="str">
        <f t="shared" si="1774"/>
        <v>OK!</v>
      </c>
      <c r="M456" s="407" t="str">
        <f t="shared" si="1775"/>
        <v>OK!</v>
      </c>
      <c r="N456" s="407" t="str">
        <f t="shared" si="1776"/>
        <v>OK!</v>
      </c>
      <c r="O456" s="407" t="str">
        <f t="shared" si="1777"/>
        <v>OK!</v>
      </c>
      <c r="P456" s="407" t="str">
        <f t="shared" si="1778"/>
        <v>OK!</v>
      </c>
      <c r="Q456" s="407" t="str">
        <f t="shared" si="1779"/>
        <v>OK!</v>
      </c>
      <c r="R456" s="407" t="str">
        <f t="shared" si="1780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6" t="str">
        <f>'(B2) Struktura Organizative'!A68</f>
        <v>Nënfunksioni 27</v>
      </c>
      <c r="B457" s="894" t="str">
        <f>'(B2) Struktura Organizative'!B68</f>
        <v>106 Strehimi social</v>
      </c>
      <c r="C457" s="895"/>
      <c r="D457" s="895"/>
      <c r="E457" s="896"/>
      <c r="G457" s="312">
        <f>C461</f>
        <v>530000</v>
      </c>
      <c r="H457" s="312">
        <f t="shared" ref="H457" si="1783">D461</f>
        <v>532000</v>
      </c>
      <c r="I457" s="312">
        <f t="shared" ref="I457" si="1784">E461</f>
        <v>531408</v>
      </c>
      <c r="J457" s="312">
        <f>C458</f>
        <v>0</v>
      </c>
      <c r="K457" s="312">
        <f t="shared" ref="K457" si="1785">D458</f>
        <v>0</v>
      </c>
      <c r="L457" s="312">
        <f t="shared" ref="L457" si="1786">E458</f>
        <v>0</v>
      </c>
      <c r="M457" s="312">
        <f>C459</f>
        <v>530000</v>
      </c>
      <c r="N457" s="312">
        <f t="shared" ref="N457" si="1787">D459</f>
        <v>532000</v>
      </c>
      <c r="O457" s="312">
        <f t="shared" ref="O457" si="1788">E459</f>
        <v>531408</v>
      </c>
      <c r="P457" s="312">
        <f>C460</f>
        <v>0</v>
      </c>
      <c r="Q457" s="312">
        <f t="shared" ref="Q457" si="1789">D460</f>
        <v>0</v>
      </c>
      <c r="R457" s="312">
        <f t="shared" ref="R457" si="1790">E460</f>
        <v>0</v>
      </c>
    </row>
    <row r="458" spans="1:20" x14ac:dyDescent="0.15">
      <c r="A458" s="286" t="str">
        <f>A$8</f>
        <v>Pagat dhe sigurimet shoqërore</v>
      </c>
      <c r="B458" s="286"/>
      <c r="C458" s="563">
        <f>C464</f>
        <v>0</v>
      </c>
      <c r="D458" s="563">
        <f t="shared" ref="D458:E458" si="1791">D464</f>
        <v>0</v>
      </c>
      <c r="E458" s="563">
        <f t="shared" si="1791"/>
        <v>0</v>
      </c>
      <c r="F458" s="407" t="str">
        <f t="shared" ref="F458:F460" si="1792">IF(C458&lt;0,"STOPP!","OK!")</f>
        <v>OK!</v>
      </c>
      <c r="G458" s="407" t="str">
        <f t="shared" ref="G458:G460" si="1793">IF(D458&lt;0,"STOPP!","OK!")</f>
        <v>OK!</v>
      </c>
      <c r="H458" s="407" t="str">
        <f t="shared" ref="H458:H460" si="1794">IF(E458&lt;0,"STOPP!","OK!")</f>
        <v>OK!</v>
      </c>
      <c r="I458" s="407" t="str">
        <f t="shared" ref="I458:I460" si="1795">IF(F458&lt;0,"STOPP!","OK!")</f>
        <v>OK!</v>
      </c>
      <c r="J458" s="407" t="str">
        <f t="shared" ref="J458:J460" si="1796">IF(G458&lt;0,"STOPP!","OK!")</f>
        <v>OK!</v>
      </c>
      <c r="K458" s="407" t="str">
        <f t="shared" ref="K458:K460" si="1797">IF(H458&lt;0,"STOPP!","OK!")</f>
        <v>OK!</v>
      </c>
      <c r="L458" s="407" t="str">
        <f t="shared" ref="L458:L460" si="1798">IF(I458&lt;0,"STOPP!","OK!")</f>
        <v>OK!</v>
      </c>
      <c r="M458" s="407" t="str">
        <f t="shared" ref="M458:M460" si="1799">IF(J458&lt;0,"STOPP!","OK!")</f>
        <v>OK!</v>
      </c>
      <c r="N458" s="407" t="str">
        <f t="shared" ref="N458:N460" si="1800">IF(K458&lt;0,"STOPP!","OK!")</f>
        <v>OK!</v>
      </c>
      <c r="O458" s="407" t="str">
        <f t="shared" ref="O458:O460" si="1801">IF(L458&lt;0,"STOPP!","OK!")</f>
        <v>OK!</v>
      </c>
      <c r="P458" s="407" t="str">
        <f t="shared" ref="P458:P460" si="1802">IF(M458&lt;0,"STOPP!","OK!")</f>
        <v>OK!</v>
      </c>
      <c r="Q458" s="407" t="str">
        <f t="shared" ref="Q458:Q460" si="1803">IF(N458&lt;0,"STOPP!","OK!")</f>
        <v>OK!</v>
      </c>
      <c r="R458" s="407" t="str">
        <f t="shared" ref="R458:R460" si="1804">IF(O458&lt;0,"STOPP!","OK!")</f>
        <v>OK!</v>
      </c>
      <c r="S458" s="407" t="str">
        <f t="shared" ref="S458:S460" si="1805">IF(D458&lt;0,"STOPP!","OK!")</f>
        <v>OK!</v>
      </c>
      <c r="T458" s="407" t="str">
        <f t="shared" ref="T458:T460" si="1806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3">
        <f>C465</f>
        <v>530000</v>
      </c>
      <c r="D459" s="563">
        <f t="shared" ref="D459:E459" si="1807">D465</f>
        <v>532000</v>
      </c>
      <c r="E459" s="563">
        <f t="shared" si="1807"/>
        <v>531408</v>
      </c>
      <c r="F459" s="407" t="str">
        <f t="shared" si="1792"/>
        <v>OK!</v>
      </c>
      <c r="G459" s="407" t="str">
        <f t="shared" si="1793"/>
        <v>OK!</v>
      </c>
      <c r="H459" s="407" t="str">
        <f t="shared" si="1794"/>
        <v>OK!</v>
      </c>
      <c r="I459" s="407" t="str">
        <f t="shared" si="1795"/>
        <v>OK!</v>
      </c>
      <c r="J459" s="407" t="str">
        <f t="shared" si="1796"/>
        <v>OK!</v>
      </c>
      <c r="K459" s="407" t="str">
        <f t="shared" si="1797"/>
        <v>OK!</v>
      </c>
      <c r="L459" s="407" t="str">
        <f t="shared" si="1798"/>
        <v>OK!</v>
      </c>
      <c r="M459" s="407" t="str">
        <f t="shared" si="1799"/>
        <v>OK!</v>
      </c>
      <c r="N459" s="407" t="str">
        <f t="shared" si="1800"/>
        <v>OK!</v>
      </c>
      <c r="O459" s="407" t="str">
        <f t="shared" si="1801"/>
        <v>OK!</v>
      </c>
      <c r="P459" s="407" t="str">
        <f t="shared" si="1802"/>
        <v>OK!</v>
      </c>
      <c r="Q459" s="407" t="str">
        <f t="shared" si="1803"/>
        <v>OK!</v>
      </c>
      <c r="R459" s="407" t="str">
        <f t="shared" si="1804"/>
        <v>OK!</v>
      </c>
      <c r="S459" s="407" t="str">
        <f t="shared" si="1805"/>
        <v>OK!</v>
      </c>
      <c r="T459" s="407" t="str">
        <f t="shared" si="1806"/>
        <v>OK!</v>
      </c>
    </row>
    <row r="460" spans="1:20" x14ac:dyDescent="0.15">
      <c r="A460" s="565" t="str">
        <f>A$10</f>
        <v>Shpenzimet kapitale</v>
      </c>
      <c r="B460" s="566"/>
      <c r="C460" s="563">
        <f>C461-C458-C459</f>
        <v>0</v>
      </c>
      <c r="D460" s="561">
        <f>D461-D458-D459</f>
        <v>0</v>
      </c>
      <c r="E460" s="561">
        <f>E461-E458-E459</f>
        <v>0</v>
      </c>
      <c r="F460" s="407" t="str">
        <f t="shared" si="1792"/>
        <v>OK!</v>
      </c>
      <c r="G460" s="407" t="str">
        <f t="shared" si="1793"/>
        <v>OK!</v>
      </c>
      <c r="H460" s="407" t="str">
        <f t="shared" si="1794"/>
        <v>OK!</v>
      </c>
      <c r="I460" s="407" t="str">
        <f t="shared" si="1795"/>
        <v>OK!</v>
      </c>
      <c r="J460" s="407" t="str">
        <f t="shared" si="1796"/>
        <v>OK!</v>
      </c>
      <c r="K460" s="407" t="str">
        <f t="shared" si="1797"/>
        <v>OK!</v>
      </c>
      <c r="L460" s="407" t="str">
        <f t="shared" si="1798"/>
        <v>OK!</v>
      </c>
      <c r="M460" s="407" t="str">
        <f t="shared" si="1799"/>
        <v>OK!</v>
      </c>
      <c r="N460" s="407" t="str">
        <f t="shared" si="1800"/>
        <v>OK!</v>
      </c>
      <c r="O460" s="407" t="str">
        <f t="shared" si="1801"/>
        <v>OK!</v>
      </c>
      <c r="P460" s="407" t="str">
        <f t="shared" si="1802"/>
        <v>OK!</v>
      </c>
      <c r="Q460" s="407" t="str">
        <f t="shared" si="1803"/>
        <v>OK!</v>
      </c>
      <c r="R460" s="407" t="str">
        <f t="shared" si="1804"/>
        <v>OK!</v>
      </c>
      <c r="S460" s="407" t="str">
        <f t="shared" si="1805"/>
        <v>OK!</v>
      </c>
      <c r="T460" s="407" t="str">
        <f t="shared" si="1806"/>
        <v>OK!</v>
      </c>
    </row>
    <row r="461" spans="1:20" x14ac:dyDescent="0.15">
      <c r="A461" s="555" t="str">
        <f>A$11</f>
        <v>Tavanet e përgjithshme</v>
      </c>
      <c r="B461" s="556"/>
      <c r="C461" s="563">
        <f>C467</f>
        <v>530000</v>
      </c>
      <c r="D461" s="563">
        <f t="shared" ref="D461:E461" si="1808">D467</f>
        <v>532000</v>
      </c>
      <c r="E461" s="563">
        <f t="shared" si="1808"/>
        <v>531408</v>
      </c>
      <c r="F461" s="407" t="str">
        <f>IF(C461&lt;0,"STOPP!","OK!")</f>
        <v>OK!</v>
      </c>
      <c r="G461" s="407" t="str">
        <f t="shared" ref="G461:G462" si="1809">IF(D461&lt;0,"STOPP!","OK!")</f>
        <v>OK!</v>
      </c>
      <c r="H461" s="407" t="str">
        <f t="shared" ref="H461:H462" si="1810">IF(E461&lt;0,"STOPP!","OK!")</f>
        <v>OK!</v>
      </c>
      <c r="I461" s="407" t="str">
        <f t="shared" ref="I461:I462" si="1811">IF(F461&lt;0,"STOPP!","OK!")</f>
        <v>OK!</v>
      </c>
      <c r="J461" s="407" t="str">
        <f t="shared" ref="J461:J462" si="1812">IF(G461&lt;0,"STOPP!","OK!")</f>
        <v>OK!</v>
      </c>
      <c r="K461" s="407" t="str">
        <f t="shared" ref="K461:K462" si="1813">IF(H461&lt;0,"STOPP!","OK!")</f>
        <v>OK!</v>
      </c>
      <c r="L461" s="407" t="str">
        <f t="shared" ref="L461:L462" si="1814">IF(I461&lt;0,"STOPP!","OK!")</f>
        <v>OK!</v>
      </c>
      <c r="M461" s="407" t="str">
        <f t="shared" ref="M461:M462" si="1815">IF(J461&lt;0,"STOPP!","OK!")</f>
        <v>OK!</v>
      </c>
      <c r="N461" s="407" t="str">
        <f t="shared" ref="N461:N462" si="1816">IF(K461&lt;0,"STOPP!","OK!")</f>
        <v>OK!</v>
      </c>
      <c r="O461" s="407" t="str">
        <f t="shared" ref="O461:O462" si="1817">IF(L461&lt;0,"STOPP!","OK!")</f>
        <v>OK!</v>
      </c>
      <c r="P461" s="407" t="str">
        <f t="shared" ref="P461:P462" si="1818">IF(M461&lt;0,"STOPP!","OK!")</f>
        <v>OK!</v>
      </c>
      <c r="Q461" s="407" t="str">
        <f t="shared" ref="Q461:Q462" si="1819">IF(N461&lt;0,"STOPP!","OK!")</f>
        <v>OK!</v>
      </c>
      <c r="R461" s="407" t="str">
        <f t="shared" ref="R461:R462" si="1820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7" t="str">
        <f>A$12</f>
        <v>Angazhimet kujtesë</v>
      </c>
      <c r="B462" s="563"/>
      <c r="C462" s="563">
        <f>'(C5) Angazhimet'!D163</f>
        <v>0</v>
      </c>
      <c r="D462" s="561">
        <f>'(C5) Angazhimet'!E163</f>
        <v>0</v>
      </c>
      <c r="E462" s="561">
        <f>'(C5) Angazhimet'!F163</f>
        <v>0</v>
      </c>
      <c r="F462" s="407" t="str">
        <f>IF(C462&gt;C461,"STOPP!","OK!")</f>
        <v>OK!</v>
      </c>
      <c r="G462" s="407" t="str">
        <f t="shared" si="1809"/>
        <v>OK!</v>
      </c>
      <c r="H462" s="407" t="str">
        <f t="shared" si="1810"/>
        <v>OK!</v>
      </c>
      <c r="I462" s="407" t="str">
        <f t="shared" si="1811"/>
        <v>OK!</v>
      </c>
      <c r="J462" s="407" t="str">
        <f t="shared" si="1812"/>
        <v>OK!</v>
      </c>
      <c r="K462" s="407" t="str">
        <f t="shared" si="1813"/>
        <v>OK!</v>
      </c>
      <c r="L462" s="407" t="str">
        <f t="shared" si="1814"/>
        <v>OK!</v>
      </c>
      <c r="M462" s="407" t="str">
        <f t="shared" si="1815"/>
        <v>OK!</v>
      </c>
      <c r="N462" s="407" t="str">
        <f t="shared" si="1816"/>
        <v>OK!</v>
      </c>
      <c r="O462" s="407" t="str">
        <f t="shared" si="1817"/>
        <v>OK!</v>
      </c>
      <c r="P462" s="407" t="str">
        <f t="shared" si="1818"/>
        <v>OK!</v>
      </c>
      <c r="Q462" s="407" t="str">
        <f t="shared" si="1819"/>
        <v>OK!</v>
      </c>
      <c r="R462" s="407" t="str">
        <f t="shared" si="1820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7" t="str">
        <f>'(B3) Struktura Funksionale'!B140</f>
        <v>10661</v>
      </c>
      <c r="B463" s="891" t="str">
        <f>'(B3) Struktura Funksionale'!C140</f>
        <v>Strehimi social</v>
      </c>
      <c r="C463" s="892"/>
      <c r="D463" s="892"/>
      <c r="E463" s="893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7" t="str">
        <f t="shared" ref="F464:F466" si="1821">IF(C464&lt;0,"STOPP!","OK!")</f>
        <v>OK!</v>
      </c>
      <c r="G464" s="407" t="str">
        <f t="shared" ref="G464:G468" si="1822">IF(D464&lt;0,"STOPP!","OK!")</f>
        <v>OK!</v>
      </c>
      <c r="H464" s="407" t="str">
        <f t="shared" ref="H464:H468" si="1823">IF(E464&lt;0,"STOPP!","OK!")</f>
        <v>OK!</v>
      </c>
      <c r="I464" s="407" t="str">
        <f t="shared" ref="I464:I468" si="1824">IF(F464&lt;0,"STOPP!","OK!")</f>
        <v>OK!</v>
      </c>
      <c r="J464" s="407" t="str">
        <f t="shared" ref="J464:J468" si="1825">IF(G464&lt;0,"STOPP!","OK!")</f>
        <v>OK!</v>
      </c>
      <c r="K464" s="407" t="str">
        <f t="shared" ref="K464:K468" si="1826">IF(H464&lt;0,"STOPP!","OK!")</f>
        <v>OK!</v>
      </c>
      <c r="L464" s="407" t="str">
        <f t="shared" ref="L464:L468" si="1827">IF(I464&lt;0,"STOPP!","OK!")</f>
        <v>OK!</v>
      </c>
      <c r="M464" s="407" t="str">
        <f t="shared" ref="M464:M468" si="1828">IF(J464&lt;0,"STOPP!","OK!")</f>
        <v>OK!</v>
      </c>
      <c r="N464" s="407" t="str">
        <f t="shared" ref="N464:N468" si="1829">IF(K464&lt;0,"STOPP!","OK!")</f>
        <v>OK!</v>
      </c>
      <c r="O464" s="407" t="str">
        <f t="shared" ref="O464:O468" si="1830">IF(L464&lt;0,"STOPP!","OK!")</f>
        <v>OK!</v>
      </c>
      <c r="P464" s="407" t="str">
        <f t="shared" ref="P464:P468" si="1831">IF(M464&lt;0,"STOPP!","OK!")</f>
        <v>OK!</v>
      </c>
      <c r="Q464" s="407" t="str">
        <f t="shared" ref="Q464:Q468" si="1832">IF(N464&lt;0,"STOPP!","OK!")</f>
        <v>OK!</v>
      </c>
      <c r="R464" s="407" t="str">
        <f t="shared" ref="R464:R468" si="1833">IF(O464&lt;0,"STOPP!","OK!")</f>
        <v>OK!</v>
      </c>
      <c r="S464" s="407" t="str">
        <f t="shared" ref="S464:S466" si="1834">IF(D464&lt;0,"STOPP!","OK!")</f>
        <v>OK!</v>
      </c>
      <c r="T464" s="407" t="str">
        <f t="shared" ref="T464:T466" si="1835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>
        <v>530000</v>
      </c>
      <c r="D465" s="288">
        <f>530000+2000</f>
        <v>532000</v>
      </c>
      <c r="E465" s="288">
        <f>530000+1408</f>
        <v>531408</v>
      </c>
      <c r="F465" s="407" t="str">
        <f t="shared" si="1821"/>
        <v>OK!</v>
      </c>
      <c r="G465" s="407" t="str">
        <f t="shared" si="1822"/>
        <v>OK!</v>
      </c>
      <c r="H465" s="407" t="str">
        <f t="shared" si="1823"/>
        <v>OK!</v>
      </c>
      <c r="I465" s="407" t="str">
        <f t="shared" si="1824"/>
        <v>OK!</v>
      </c>
      <c r="J465" s="407" t="str">
        <f t="shared" si="1825"/>
        <v>OK!</v>
      </c>
      <c r="K465" s="407" t="str">
        <f t="shared" si="1826"/>
        <v>OK!</v>
      </c>
      <c r="L465" s="407" t="str">
        <f t="shared" si="1827"/>
        <v>OK!</v>
      </c>
      <c r="M465" s="407" t="str">
        <f t="shared" si="1828"/>
        <v>OK!</v>
      </c>
      <c r="N465" s="407" t="str">
        <f t="shared" si="1829"/>
        <v>OK!</v>
      </c>
      <c r="O465" s="407" t="str">
        <f t="shared" si="1830"/>
        <v>OK!</v>
      </c>
      <c r="P465" s="407" t="str">
        <f t="shared" si="1831"/>
        <v>OK!</v>
      </c>
      <c r="Q465" s="407" t="str">
        <f t="shared" si="1832"/>
        <v>OK!</v>
      </c>
      <c r="R465" s="407" t="str">
        <f t="shared" si="1833"/>
        <v>OK!</v>
      </c>
      <c r="S465" s="407" t="str">
        <f t="shared" si="1834"/>
        <v>OK!</v>
      </c>
      <c r="T465" s="407" t="str">
        <f t="shared" si="1835"/>
        <v>OK!</v>
      </c>
    </row>
    <row r="466" spans="1:20" x14ac:dyDescent="0.15">
      <c r="A466" s="565" t="str">
        <f>A$10</f>
        <v>Shpenzimet kapitale</v>
      </c>
      <c r="B466" s="566"/>
      <c r="C466" s="563">
        <f>C467-C464-C465</f>
        <v>0</v>
      </c>
      <c r="D466" s="561">
        <f>D467-D464-D465</f>
        <v>0</v>
      </c>
      <c r="E466" s="561">
        <f>E467-E464-E465</f>
        <v>0</v>
      </c>
      <c r="F466" s="407" t="str">
        <f t="shared" si="1821"/>
        <v>OK!</v>
      </c>
      <c r="G466" s="407" t="str">
        <f t="shared" si="1822"/>
        <v>OK!</v>
      </c>
      <c r="H466" s="407" t="str">
        <f t="shared" si="1823"/>
        <v>OK!</v>
      </c>
      <c r="I466" s="407" t="str">
        <f t="shared" si="1824"/>
        <v>OK!</v>
      </c>
      <c r="J466" s="407" t="str">
        <f t="shared" si="1825"/>
        <v>OK!</v>
      </c>
      <c r="K466" s="407" t="str">
        <f t="shared" si="1826"/>
        <v>OK!</v>
      </c>
      <c r="L466" s="407" t="str">
        <f t="shared" si="1827"/>
        <v>OK!</v>
      </c>
      <c r="M466" s="407" t="str">
        <f t="shared" si="1828"/>
        <v>OK!</v>
      </c>
      <c r="N466" s="407" t="str">
        <f t="shared" si="1829"/>
        <v>OK!</v>
      </c>
      <c r="O466" s="407" t="str">
        <f t="shared" si="1830"/>
        <v>OK!</v>
      </c>
      <c r="P466" s="407" t="str">
        <f t="shared" si="1831"/>
        <v>OK!</v>
      </c>
      <c r="Q466" s="407" t="str">
        <f t="shared" si="1832"/>
        <v>OK!</v>
      </c>
      <c r="R466" s="407" t="str">
        <f t="shared" si="1833"/>
        <v>OK!</v>
      </c>
      <c r="S466" s="407" t="str">
        <f t="shared" si="1834"/>
        <v>OK!</v>
      </c>
      <c r="T466" s="407" t="str">
        <f t="shared" si="1835"/>
        <v>OK!</v>
      </c>
    </row>
    <row r="467" spans="1:20" x14ac:dyDescent="0.15">
      <c r="A467" s="555" t="str">
        <f>A$11</f>
        <v>Tavanet e përgjithshme</v>
      </c>
      <c r="B467" s="556"/>
      <c r="C467" s="564">
        <v>530000</v>
      </c>
      <c r="D467" s="564">
        <f>530000+2000</f>
        <v>532000</v>
      </c>
      <c r="E467" s="564">
        <f>530000+1408</f>
        <v>531408</v>
      </c>
      <c r="F467" s="407" t="str">
        <f>IF(C467&lt;0,"STOPP!","OK!")</f>
        <v>OK!</v>
      </c>
      <c r="G467" s="407" t="str">
        <f t="shared" si="1822"/>
        <v>OK!</v>
      </c>
      <c r="H467" s="407" t="str">
        <f t="shared" si="1823"/>
        <v>OK!</v>
      </c>
      <c r="I467" s="407" t="str">
        <f t="shared" si="1824"/>
        <v>OK!</v>
      </c>
      <c r="J467" s="407" t="str">
        <f t="shared" si="1825"/>
        <v>OK!</v>
      </c>
      <c r="K467" s="407" t="str">
        <f t="shared" si="1826"/>
        <v>OK!</v>
      </c>
      <c r="L467" s="407" t="str">
        <f t="shared" si="1827"/>
        <v>OK!</v>
      </c>
      <c r="M467" s="407" t="str">
        <f t="shared" si="1828"/>
        <v>OK!</v>
      </c>
      <c r="N467" s="407" t="str">
        <f t="shared" si="1829"/>
        <v>OK!</v>
      </c>
      <c r="O467" s="407" t="str">
        <f t="shared" si="1830"/>
        <v>OK!</v>
      </c>
      <c r="P467" s="407" t="str">
        <f t="shared" si="1831"/>
        <v>OK!</v>
      </c>
      <c r="Q467" s="407" t="str">
        <f t="shared" si="1832"/>
        <v>OK!</v>
      </c>
      <c r="R467" s="407" t="str">
        <f t="shared" si="1833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7" t="str">
        <f>A$12</f>
        <v>Angazhimet kujtesë</v>
      </c>
      <c r="B468" s="563"/>
      <c r="C468" s="563">
        <f>'(C5) Angazhimet'!D160</f>
        <v>0</v>
      </c>
      <c r="D468" s="563">
        <f>'(C5) Angazhimet'!E160</f>
        <v>0</v>
      </c>
      <c r="E468" s="563">
        <f>'(C5) Angazhimet'!F160</f>
        <v>0</v>
      </c>
      <c r="F468" s="407" t="str">
        <f>IF(C468&gt;C467,"STOPP!","OK!")</f>
        <v>OK!</v>
      </c>
      <c r="G468" s="407" t="str">
        <f t="shared" si="1822"/>
        <v>OK!</v>
      </c>
      <c r="H468" s="407" t="str">
        <f t="shared" si="1823"/>
        <v>OK!</v>
      </c>
      <c r="I468" s="407" t="str">
        <f t="shared" si="1824"/>
        <v>OK!</v>
      </c>
      <c r="J468" s="407" t="str">
        <f t="shared" si="1825"/>
        <v>OK!</v>
      </c>
      <c r="K468" s="407" t="str">
        <f t="shared" si="1826"/>
        <v>OK!</v>
      </c>
      <c r="L468" s="407" t="str">
        <f t="shared" si="1827"/>
        <v>OK!</v>
      </c>
      <c r="M468" s="407" t="str">
        <f t="shared" si="1828"/>
        <v>OK!</v>
      </c>
      <c r="N468" s="407" t="str">
        <f t="shared" si="1829"/>
        <v>OK!</v>
      </c>
      <c r="O468" s="407" t="str">
        <f t="shared" si="1830"/>
        <v>OK!</v>
      </c>
      <c r="P468" s="407" t="str">
        <f t="shared" si="1831"/>
        <v>OK!</v>
      </c>
      <c r="Q468" s="407" t="str">
        <f t="shared" si="1832"/>
        <v>OK!</v>
      </c>
      <c r="R468" s="407" t="str">
        <f t="shared" si="1833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6" t="str">
        <f>'(B2) Struktura Organizative'!A69</f>
        <v>Nënfunksioni 29</v>
      </c>
      <c r="B469" s="894" t="str">
        <f>'(B2) Struktura Organizative'!B69</f>
        <v>107 Ndihma Ekonomike</v>
      </c>
      <c r="C469" s="895"/>
      <c r="D469" s="895"/>
      <c r="E469" s="896"/>
      <c r="G469" s="312">
        <f>C473</f>
        <v>0</v>
      </c>
      <c r="H469" s="312">
        <f t="shared" ref="H469" si="1836">D473</f>
        <v>0</v>
      </c>
      <c r="I469" s="312">
        <f t="shared" ref="I469" si="1837">E473</f>
        <v>0</v>
      </c>
      <c r="J469" s="312">
        <f>C470</f>
        <v>0</v>
      </c>
      <c r="K469" s="312">
        <f t="shared" ref="K469" si="1838">D470</f>
        <v>0</v>
      </c>
      <c r="L469" s="312">
        <f t="shared" ref="L469" si="1839">E470</f>
        <v>0</v>
      </c>
      <c r="M469" s="312">
        <f>C471</f>
        <v>0</v>
      </c>
      <c r="N469" s="312">
        <f t="shared" ref="N469" si="1840">D471</f>
        <v>0</v>
      </c>
      <c r="O469" s="312">
        <f t="shared" ref="O469" si="1841">E471</f>
        <v>0</v>
      </c>
      <c r="P469" s="312">
        <f>C472</f>
        <v>0</v>
      </c>
      <c r="Q469" s="312">
        <f t="shared" ref="Q469" si="1842">D472</f>
        <v>0</v>
      </c>
      <c r="R469" s="312">
        <f t="shared" ref="R469" si="1843">E472</f>
        <v>0</v>
      </c>
    </row>
    <row r="470" spans="1:20" hidden="1" x14ac:dyDescent="0.15">
      <c r="A470" s="286" t="str">
        <f>A$8</f>
        <v>Pagat dhe sigurimet shoqërore</v>
      </c>
      <c r="B470" s="286"/>
      <c r="C470" s="563">
        <f>C476</f>
        <v>0</v>
      </c>
      <c r="D470" s="563">
        <f t="shared" ref="D470:E470" si="1844">D476</f>
        <v>0</v>
      </c>
      <c r="E470" s="563">
        <f t="shared" si="1844"/>
        <v>0</v>
      </c>
      <c r="F470" s="407" t="str">
        <f t="shared" ref="F470:F472" si="1845">IF(C470&lt;0,"STOPP!","OK!")</f>
        <v>OK!</v>
      </c>
      <c r="G470" s="407" t="str">
        <f t="shared" ref="G470:G472" si="1846">IF(D470&lt;0,"STOPP!","OK!")</f>
        <v>OK!</v>
      </c>
      <c r="H470" s="407" t="str">
        <f t="shared" ref="H470:H472" si="1847">IF(E470&lt;0,"STOPP!","OK!")</f>
        <v>OK!</v>
      </c>
      <c r="I470" s="407" t="str">
        <f t="shared" ref="I470:I472" si="1848">IF(F470&lt;0,"STOPP!","OK!")</f>
        <v>OK!</v>
      </c>
      <c r="J470" s="407" t="str">
        <f t="shared" ref="J470:J472" si="1849">IF(G470&lt;0,"STOPP!","OK!")</f>
        <v>OK!</v>
      </c>
      <c r="K470" s="407" t="str">
        <f t="shared" ref="K470:K472" si="1850">IF(H470&lt;0,"STOPP!","OK!")</f>
        <v>OK!</v>
      </c>
      <c r="L470" s="407" t="str">
        <f t="shared" ref="L470:L472" si="1851">IF(I470&lt;0,"STOPP!","OK!")</f>
        <v>OK!</v>
      </c>
      <c r="M470" s="407" t="str">
        <f t="shared" ref="M470:M472" si="1852">IF(J470&lt;0,"STOPP!","OK!")</f>
        <v>OK!</v>
      </c>
      <c r="N470" s="407" t="str">
        <f t="shared" ref="N470:N472" si="1853">IF(K470&lt;0,"STOPP!","OK!")</f>
        <v>OK!</v>
      </c>
      <c r="O470" s="407" t="str">
        <f t="shared" ref="O470:O472" si="1854">IF(L470&lt;0,"STOPP!","OK!")</f>
        <v>OK!</v>
      </c>
      <c r="P470" s="407" t="str">
        <f t="shared" ref="P470:P472" si="1855">IF(M470&lt;0,"STOPP!","OK!")</f>
        <v>OK!</v>
      </c>
      <c r="Q470" s="407" t="str">
        <f t="shared" ref="Q470:Q472" si="1856">IF(N470&lt;0,"STOPP!","OK!")</f>
        <v>OK!</v>
      </c>
      <c r="R470" s="407" t="str">
        <f t="shared" ref="R470:R472" si="1857">IF(O470&lt;0,"STOPP!","OK!")</f>
        <v>OK!</v>
      </c>
      <c r="S470" s="407" t="str">
        <f t="shared" ref="S470:S472" si="1858">IF(D470&lt;0,"STOPP!","OK!")</f>
        <v>OK!</v>
      </c>
      <c r="T470" s="407" t="str">
        <f t="shared" ref="T470:T472" si="1859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3">
        <f>C477</f>
        <v>0</v>
      </c>
      <c r="D471" s="563">
        <f t="shared" ref="D471:E471" si="1860">D477</f>
        <v>0</v>
      </c>
      <c r="E471" s="563">
        <f t="shared" si="1860"/>
        <v>0</v>
      </c>
      <c r="F471" s="407" t="str">
        <f t="shared" si="1845"/>
        <v>OK!</v>
      </c>
      <c r="G471" s="407" t="str">
        <f t="shared" si="1846"/>
        <v>OK!</v>
      </c>
      <c r="H471" s="407" t="str">
        <f t="shared" si="1847"/>
        <v>OK!</v>
      </c>
      <c r="I471" s="407" t="str">
        <f t="shared" si="1848"/>
        <v>OK!</v>
      </c>
      <c r="J471" s="407" t="str">
        <f t="shared" si="1849"/>
        <v>OK!</v>
      </c>
      <c r="K471" s="407" t="str">
        <f t="shared" si="1850"/>
        <v>OK!</v>
      </c>
      <c r="L471" s="407" t="str">
        <f t="shared" si="1851"/>
        <v>OK!</v>
      </c>
      <c r="M471" s="407" t="str">
        <f t="shared" si="1852"/>
        <v>OK!</v>
      </c>
      <c r="N471" s="407" t="str">
        <f t="shared" si="1853"/>
        <v>OK!</v>
      </c>
      <c r="O471" s="407" t="str">
        <f t="shared" si="1854"/>
        <v>OK!</v>
      </c>
      <c r="P471" s="407" t="str">
        <f t="shared" si="1855"/>
        <v>OK!</v>
      </c>
      <c r="Q471" s="407" t="str">
        <f t="shared" si="1856"/>
        <v>OK!</v>
      </c>
      <c r="R471" s="407" t="str">
        <f t="shared" si="1857"/>
        <v>OK!</v>
      </c>
      <c r="S471" s="407" t="str">
        <f t="shared" si="1858"/>
        <v>OK!</v>
      </c>
      <c r="T471" s="407" t="str">
        <f t="shared" si="1859"/>
        <v>OK!</v>
      </c>
    </row>
    <row r="472" spans="1:20" hidden="1" x14ac:dyDescent="0.15">
      <c r="A472" s="565" t="str">
        <f>A$10</f>
        <v>Shpenzimet kapitale</v>
      </c>
      <c r="B472" s="566"/>
      <c r="C472" s="563">
        <f>C473-C470-C471</f>
        <v>0</v>
      </c>
      <c r="D472" s="561">
        <f>D473-D470-D471</f>
        <v>0</v>
      </c>
      <c r="E472" s="561">
        <f>E473-E470-E471</f>
        <v>0</v>
      </c>
      <c r="F472" s="407" t="str">
        <f t="shared" si="1845"/>
        <v>OK!</v>
      </c>
      <c r="G472" s="407" t="str">
        <f t="shared" si="1846"/>
        <v>OK!</v>
      </c>
      <c r="H472" s="407" t="str">
        <f t="shared" si="1847"/>
        <v>OK!</v>
      </c>
      <c r="I472" s="407" t="str">
        <f t="shared" si="1848"/>
        <v>OK!</v>
      </c>
      <c r="J472" s="407" t="str">
        <f t="shared" si="1849"/>
        <v>OK!</v>
      </c>
      <c r="K472" s="407" t="str">
        <f t="shared" si="1850"/>
        <v>OK!</v>
      </c>
      <c r="L472" s="407" t="str">
        <f t="shared" si="1851"/>
        <v>OK!</v>
      </c>
      <c r="M472" s="407" t="str">
        <f t="shared" si="1852"/>
        <v>OK!</v>
      </c>
      <c r="N472" s="407" t="str">
        <f t="shared" si="1853"/>
        <v>OK!</v>
      </c>
      <c r="O472" s="407" t="str">
        <f t="shared" si="1854"/>
        <v>OK!</v>
      </c>
      <c r="P472" s="407" t="str">
        <f t="shared" si="1855"/>
        <v>OK!</v>
      </c>
      <c r="Q472" s="407" t="str">
        <f t="shared" si="1856"/>
        <v>OK!</v>
      </c>
      <c r="R472" s="407" t="str">
        <f t="shared" si="1857"/>
        <v>OK!</v>
      </c>
      <c r="S472" s="407" t="str">
        <f t="shared" si="1858"/>
        <v>OK!</v>
      </c>
      <c r="T472" s="407" t="str">
        <f t="shared" si="1859"/>
        <v>OK!</v>
      </c>
    </row>
    <row r="473" spans="1:20" hidden="1" x14ac:dyDescent="0.15">
      <c r="A473" s="555" t="str">
        <f>A$11</f>
        <v>Tavanet e përgjithshme</v>
      </c>
      <c r="B473" s="556"/>
      <c r="C473" s="563">
        <f>C479</f>
        <v>0</v>
      </c>
      <c r="D473" s="563">
        <f t="shared" ref="D473:E473" si="1861">D479</f>
        <v>0</v>
      </c>
      <c r="E473" s="563">
        <f t="shared" si="1861"/>
        <v>0</v>
      </c>
      <c r="F473" s="407" t="str">
        <f>IF(C473&lt;0,"STOPP!","OK!")</f>
        <v>OK!</v>
      </c>
      <c r="G473" s="407" t="str">
        <f t="shared" ref="G473:G474" si="1862">IF(D473&lt;0,"STOPP!","OK!")</f>
        <v>OK!</v>
      </c>
      <c r="H473" s="407" t="str">
        <f t="shared" ref="H473:H474" si="1863">IF(E473&lt;0,"STOPP!","OK!")</f>
        <v>OK!</v>
      </c>
      <c r="I473" s="407" t="str">
        <f t="shared" ref="I473:I474" si="1864">IF(F473&lt;0,"STOPP!","OK!")</f>
        <v>OK!</v>
      </c>
      <c r="J473" s="407" t="str">
        <f t="shared" ref="J473:J474" si="1865">IF(G473&lt;0,"STOPP!","OK!")</f>
        <v>OK!</v>
      </c>
      <c r="K473" s="407" t="str">
        <f t="shared" ref="K473:K474" si="1866">IF(H473&lt;0,"STOPP!","OK!")</f>
        <v>OK!</v>
      </c>
      <c r="L473" s="407" t="str">
        <f t="shared" ref="L473:L474" si="1867">IF(I473&lt;0,"STOPP!","OK!")</f>
        <v>OK!</v>
      </c>
      <c r="M473" s="407" t="str">
        <f t="shared" ref="M473:M474" si="1868">IF(J473&lt;0,"STOPP!","OK!")</f>
        <v>OK!</v>
      </c>
      <c r="N473" s="407" t="str">
        <f t="shared" ref="N473:N474" si="1869">IF(K473&lt;0,"STOPP!","OK!")</f>
        <v>OK!</v>
      </c>
      <c r="O473" s="407" t="str">
        <f t="shared" ref="O473:O474" si="1870">IF(L473&lt;0,"STOPP!","OK!")</f>
        <v>OK!</v>
      </c>
      <c r="P473" s="407" t="str">
        <f t="shared" ref="P473:P474" si="1871">IF(M473&lt;0,"STOPP!","OK!")</f>
        <v>OK!</v>
      </c>
      <c r="Q473" s="407" t="str">
        <f t="shared" ref="Q473:Q474" si="1872">IF(N473&lt;0,"STOPP!","OK!")</f>
        <v>OK!</v>
      </c>
      <c r="R473" s="407" t="str">
        <f t="shared" ref="R473:R474" si="1873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7" t="str">
        <f>A$12</f>
        <v>Angazhimet kujtesë</v>
      </c>
      <c r="B474" s="563"/>
      <c r="C474" s="563">
        <f>'(C5) Angazhimet'!D168</f>
        <v>0</v>
      </c>
      <c r="D474" s="561">
        <f>'(C5) Angazhimet'!E168</f>
        <v>0</v>
      </c>
      <c r="E474" s="561">
        <f>'(C5) Angazhimet'!F168</f>
        <v>0</v>
      </c>
      <c r="F474" s="407" t="str">
        <f>IF(C474&gt;C473,"STOPP!","OK!")</f>
        <v>OK!</v>
      </c>
      <c r="G474" s="407" t="str">
        <f t="shared" si="1862"/>
        <v>OK!</v>
      </c>
      <c r="H474" s="407" t="str">
        <f t="shared" si="1863"/>
        <v>OK!</v>
      </c>
      <c r="I474" s="407" t="str">
        <f t="shared" si="1864"/>
        <v>OK!</v>
      </c>
      <c r="J474" s="407" t="str">
        <f t="shared" si="1865"/>
        <v>OK!</v>
      </c>
      <c r="K474" s="407" t="str">
        <f t="shared" si="1866"/>
        <v>OK!</v>
      </c>
      <c r="L474" s="407" t="str">
        <f t="shared" si="1867"/>
        <v>OK!</v>
      </c>
      <c r="M474" s="407" t="str">
        <f t="shared" si="1868"/>
        <v>OK!</v>
      </c>
      <c r="N474" s="407" t="str">
        <f t="shared" si="1869"/>
        <v>OK!</v>
      </c>
      <c r="O474" s="407" t="str">
        <f t="shared" si="1870"/>
        <v>OK!</v>
      </c>
      <c r="P474" s="407" t="str">
        <f t="shared" si="1871"/>
        <v>OK!</v>
      </c>
      <c r="Q474" s="407" t="str">
        <f t="shared" si="1872"/>
        <v>OK!</v>
      </c>
      <c r="R474" s="407" t="str">
        <f t="shared" si="1873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7" t="str">
        <f>'(B3) Struktura Funksionale'!B144</f>
        <v>10770</v>
      </c>
      <c r="B475" s="891" t="str">
        <f>'(B3) Struktura Funksionale'!C144</f>
        <v>Ndihma Ekonomike</v>
      </c>
      <c r="C475" s="892"/>
      <c r="D475" s="892"/>
      <c r="E475" s="893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74">IF(C476&lt;0,"STOPP!","OK!")</f>
        <v>OK!</v>
      </c>
      <c r="G476" s="407" t="str">
        <f t="shared" ref="G476:G480" si="1875">IF(D476&lt;0,"STOPP!","OK!")</f>
        <v>OK!</v>
      </c>
      <c r="H476" s="407" t="str">
        <f t="shared" ref="H476:H480" si="1876">IF(E476&lt;0,"STOPP!","OK!")</f>
        <v>OK!</v>
      </c>
      <c r="I476" s="407" t="str">
        <f t="shared" ref="I476:I480" si="1877">IF(F476&lt;0,"STOPP!","OK!")</f>
        <v>OK!</v>
      </c>
      <c r="J476" s="407" t="str">
        <f t="shared" ref="J476:J480" si="1878">IF(G476&lt;0,"STOPP!","OK!")</f>
        <v>OK!</v>
      </c>
      <c r="K476" s="407" t="str">
        <f t="shared" ref="K476:K480" si="1879">IF(H476&lt;0,"STOPP!","OK!")</f>
        <v>OK!</v>
      </c>
      <c r="L476" s="407" t="str">
        <f t="shared" ref="L476:L480" si="1880">IF(I476&lt;0,"STOPP!","OK!")</f>
        <v>OK!</v>
      </c>
      <c r="M476" s="407" t="str">
        <f t="shared" ref="M476:M480" si="1881">IF(J476&lt;0,"STOPP!","OK!")</f>
        <v>OK!</v>
      </c>
      <c r="N476" s="407" t="str">
        <f t="shared" ref="N476:N480" si="1882">IF(K476&lt;0,"STOPP!","OK!")</f>
        <v>OK!</v>
      </c>
      <c r="O476" s="407" t="str">
        <f t="shared" ref="O476:O480" si="1883">IF(L476&lt;0,"STOPP!","OK!")</f>
        <v>OK!</v>
      </c>
      <c r="P476" s="407" t="str">
        <f t="shared" ref="P476:P480" si="1884">IF(M476&lt;0,"STOPP!","OK!")</f>
        <v>OK!</v>
      </c>
      <c r="Q476" s="407" t="str">
        <f t="shared" ref="Q476:Q480" si="1885">IF(N476&lt;0,"STOPP!","OK!")</f>
        <v>OK!</v>
      </c>
      <c r="R476" s="407" t="str">
        <f t="shared" ref="R476:R480" si="1886">IF(O476&lt;0,"STOPP!","OK!")</f>
        <v>OK!</v>
      </c>
      <c r="S476" s="407" t="str">
        <f t="shared" ref="S476:S478" si="1887">IF(D476&lt;0,"STOPP!","OK!")</f>
        <v>OK!</v>
      </c>
      <c r="T476" s="407" t="str">
        <f t="shared" ref="T476:T478" si="1888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74"/>
        <v>OK!</v>
      </c>
      <c r="G477" s="407" t="str">
        <f t="shared" si="1875"/>
        <v>OK!</v>
      </c>
      <c r="H477" s="407" t="str">
        <f t="shared" si="1876"/>
        <v>OK!</v>
      </c>
      <c r="I477" s="407" t="str">
        <f t="shared" si="1877"/>
        <v>OK!</v>
      </c>
      <c r="J477" s="407" t="str">
        <f t="shared" si="1878"/>
        <v>OK!</v>
      </c>
      <c r="K477" s="407" t="str">
        <f t="shared" si="1879"/>
        <v>OK!</v>
      </c>
      <c r="L477" s="407" t="str">
        <f t="shared" si="1880"/>
        <v>OK!</v>
      </c>
      <c r="M477" s="407" t="str">
        <f t="shared" si="1881"/>
        <v>OK!</v>
      </c>
      <c r="N477" s="407" t="str">
        <f t="shared" si="1882"/>
        <v>OK!</v>
      </c>
      <c r="O477" s="407" t="str">
        <f t="shared" si="1883"/>
        <v>OK!</v>
      </c>
      <c r="P477" s="407" t="str">
        <f t="shared" si="1884"/>
        <v>OK!</v>
      </c>
      <c r="Q477" s="407" t="str">
        <f t="shared" si="1885"/>
        <v>OK!</v>
      </c>
      <c r="R477" s="407" t="str">
        <f t="shared" si="1886"/>
        <v>OK!</v>
      </c>
      <c r="S477" s="407" t="str">
        <f t="shared" si="1887"/>
        <v>OK!</v>
      </c>
      <c r="T477" s="407" t="str">
        <f t="shared" si="1888"/>
        <v>OK!</v>
      </c>
    </row>
    <row r="478" spans="1:20" hidden="1" x14ac:dyDescent="0.15">
      <c r="A478" s="565" t="str">
        <f>A$10</f>
        <v>Shpenzimet kapitale</v>
      </c>
      <c r="B478" s="566"/>
      <c r="C478" s="563">
        <f>C479-C476-C477</f>
        <v>0</v>
      </c>
      <c r="D478" s="561">
        <f>D479-D476-D477</f>
        <v>0</v>
      </c>
      <c r="E478" s="561">
        <f>E479-E476-E477</f>
        <v>0</v>
      </c>
      <c r="F478" s="407" t="str">
        <f t="shared" si="1874"/>
        <v>OK!</v>
      </c>
      <c r="G478" s="407" t="str">
        <f t="shared" si="1875"/>
        <v>OK!</v>
      </c>
      <c r="H478" s="407" t="str">
        <f t="shared" si="1876"/>
        <v>OK!</v>
      </c>
      <c r="I478" s="407" t="str">
        <f t="shared" si="1877"/>
        <v>OK!</v>
      </c>
      <c r="J478" s="407" t="str">
        <f t="shared" si="1878"/>
        <v>OK!</v>
      </c>
      <c r="K478" s="407" t="str">
        <f t="shared" si="1879"/>
        <v>OK!</v>
      </c>
      <c r="L478" s="407" t="str">
        <f t="shared" si="1880"/>
        <v>OK!</v>
      </c>
      <c r="M478" s="407" t="str">
        <f t="shared" si="1881"/>
        <v>OK!</v>
      </c>
      <c r="N478" s="407" t="str">
        <f t="shared" si="1882"/>
        <v>OK!</v>
      </c>
      <c r="O478" s="407" t="str">
        <f t="shared" si="1883"/>
        <v>OK!</v>
      </c>
      <c r="P478" s="407" t="str">
        <f t="shared" si="1884"/>
        <v>OK!</v>
      </c>
      <c r="Q478" s="407" t="str">
        <f t="shared" si="1885"/>
        <v>OK!</v>
      </c>
      <c r="R478" s="407" t="str">
        <f t="shared" si="1886"/>
        <v>OK!</v>
      </c>
      <c r="S478" s="407" t="str">
        <f t="shared" si="1887"/>
        <v>OK!</v>
      </c>
      <c r="T478" s="407" t="str">
        <f t="shared" si="1888"/>
        <v>OK!</v>
      </c>
    </row>
    <row r="479" spans="1:20" hidden="1" x14ac:dyDescent="0.15">
      <c r="A479" s="555" t="str">
        <f>A$11</f>
        <v>Tavanet e përgjithshme</v>
      </c>
      <c r="B479" s="556"/>
      <c r="C479" s="564"/>
      <c r="D479" s="562"/>
      <c r="E479" s="562"/>
      <c r="F479" s="407" t="str">
        <f>IF(C479&lt;0,"STOPP!","OK!")</f>
        <v>OK!</v>
      </c>
      <c r="G479" s="407" t="str">
        <f t="shared" si="1875"/>
        <v>OK!</v>
      </c>
      <c r="H479" s="407" t="str">
        <f t="shared" si="1876"/>
        <v>OK!</v>
      </c>
      <c r="I479" s="407" t="str">
        <f t="shared" si="1877"/>
        <v>OK!</v>
      </c>
      <c r="J479" s="407" t="str">
        <f t="shared" si="1878"/>
        <v>OK!</v>
      </c>
      <c r="K479" s="407" t="str">
        <f t="shared" si="1879"/>
        <v>OK!</v>
      </c>
      <c r="L479" s="407" t="str">
        <f t="shared" si="1880"/>
        <v>OK!</v>
      </c>
      <c r="M479" s="407" t="str">
        <f t="shared" si="1881"/>
        <v>OK!</v>
      </c>
      <c r="N479" s="407" t="str">
        <f t="shared" si="1882"/>
        <v>OK!</v>
      </c>
      <c r="O479" s="407" t="str">
        <f t="shared" si="1883"/>
        <v>OK!</v>
      </c>
      <c r="P479" s="407" t="str">
        <f t="shared" si="1884"/>
        <v>OK!</v>
      </c>
      <c r="Q479" s="407" t="str">
        <f t="shared" si="1885"/>
        <v>OK!</v>
      </c>
      <c r="R479" s="407" t="str">
        <f t="shared" si="1886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7" t="str">
        <f>A$12</f>
        <v>Angazhimet kujtesë</v>
      </c>
      <c r="B480" s="563"/>
      <c r="C480" s="563">
        <f>'(C5) Angazhimet'!D165</f>
        <v>0</v>
      </c>
      <c r="D480" s="563">
        <f>'(C5) Angazhimet'!E165</f>
        <v>0</v>
      </c>
      <c r="E480" s="563">
        <f>'(C5) Angazhimet'!F165</f>
        <v>0</v>
      </c>
      <c r="F480" s="407" t="str">
        <f>IF(C480&gt;C479,"STOPP!","OK!")</f>
        <v>OK!</v>
      </c>
      <c r="G480" s="407" t="str">
        <f t="shared" si="1875"/>
        <v>OK!</v>
      </c>
      <c r="H480" s="407" t="str">
        <f t="shared" si="1876"/>
        <v>OK!</v>
      </c>
      <c r="I480" s="407" t="str">
        <f t="shared" si="1877"/>
        <v>OK!</v>
      </c>
      <c r="J480" s="407" t="str">
        <f t="shared" si="1878"/>
        <v>OK!</v>
      </c>
      <c r="K480" s="407" t="str">
        <f t="shared" si="1879"/>
        <v>OK!</v>
      </c>
      <c r="L480" s="407" t="str">
        <f t="shared" si="1880"/>
        <v>OK!</v>
      </c>
      <c r="M480" s="407" t="str">
        <f t="shared" si="1881"/>
        <v>OK!</v>
      </c>
      <c r="N480" s="407" t="str">
        <f t="shared" si="1882"/>
        <v>OK!</v>
      </c>
      <c r="O480" s="407" t="str">
        <f t="shared" si="1883"/>
        <v>OK!</v>
      </c>
      <c r="P480" s="407" t="str">
        <f t="shared" si="1884"/>
        <v>OK!</v>
      </c>
      <c r="Q480" s="407" t="str">
        <f t="shared" si="1885"/>
        <v>OK!</v>
      </c>
      <c r="R480" s="407" t="str">
        <f t="shared" si="1886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69"/>
      <c r="B481" s="901"/>
      <c r="C481" s="901"/>
      <c r="D481" s="901"/>
      <c r="E481" s="877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89">C8+C32+C56+C68+C80+C92+C122+C146+C170+C188+C200+C212+C224+C242+C260+C278+C290+C302+C314+C332+C356+C470+C368+C392+C404+C416+C428+C446+C458</f>
        <v>519710</v>
      </c>
      <c r="D482" s="289">
        <f t="shared" si="1889"/>
        <v>522154</v>
      </c>
      <c r="E482" s="289">
        <f t="shared" si="1889"/>
        <v>523210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89"/>
        <v>1083034</v>
      </c>
      <c r="D483" s="289">
        <f t="shared" si="1889"/>
        <v>1090034</v>
      </c>
      <c r="E483" s="289">
        <f t="shared" si="1889"/>
        <v>1084442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89"/>
        <v>134027</v>
      </c>
      <c r="D484" s="289">
        <f t="shared" si="1889"/>
        <v>146527</v>
      </c>
      <c r="E484" s="289">
        <f t="shared" si="1889"/>
        <v>179226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89"/>
        <v>1736771</v>
      </c>
      <c r="D485" s="291">
        <f t="shared" si="1889"/>
        <v>1758715</v>
      </c>
      <c r="E485" s="291">
        <f t="shared" si="1889"/>
        <v>1786878</v>
      </c>
      <c r="F485" s="407" t="str">
        <f>IF(C485&gt;C487,"STOPP!","OK!")</f>
        <v>OK!</v>
      </c>
      <c r="G485" s="407" t="str">
        <f t="shared" ref="G485" si="1890">IF(D485&lt;0,"STOPP!","OK!")</f>
        <v>OK!</v>
      </c>
      <c r="H485" s="407" t="str">
        <f t="shared" ref="H485" si="1891">IF(E485&lt;0,"STOPP!","OK!")</f>
        <v>OK!</v>
      </c>
      <c r="I485" s="407" t="str">
        <f t="shared" ref="I485" si="1892">IF(F485&lt;0,"STOPP!","OK!")</f>
        <v>OK!</v>
      </c>
      <c r="J485" s="407" t="str">
        <f t="shared" ref="J485" si="1893">IF(G485&lt;0,"STOPP!","OK!")</f>
        <v>OK!</v>
      </c>
      <c r="K485" s="407" t="str">
        <f t="shared" ref="K485" si="1894">IF(H485&lt;0,"STOPP!","OK!")</f>
        <v>OK!</v>
      </c>
      <c r="L485" s="407" t="str">
        <f t="shared" ref="L485" si="1895">IF(I485&lt;0,"STOPP!","OK!")</f>
        <v>OK!</v>
      </c>
      <c r="M485" s="407" t="str">
        <f t="shared" ref="M485" si="1896">IF(J485&lt;0,"STOPP!","OK!")</f>
        <v>OK!</v>
      </c>
      <c r="N485" s="407" t="str">
        <f t="shared" ref="N485" si="1897">IF(K485&lt;0,"STOPP!","OK!")</f>
        <v>OK!</v>
      </c>
      <c r="O485" s="407" t="str">
        <f t="shared" ref="O485" si="1898">IF(L485&lt;0,"STOPP!","OK!")</f>
        <v>OK!</v>
      </c>
      <c r="P485" s="407" t="str">
        <f t="shared" ref="P485" si="1899">IF(M485&lt;0,"STOPP!","OK!")</f>
        <v>OK!</v>
      </c>
      <c r="Q485" s="407" t="str">
        <f t="shared" ref="Q485" si="1900">IF(N485&lt;0,"STOPP!","OK!")</f>
        <v>OK!</v>
      </c>
      <c r="R485" s="407" t="str">
        <f t="shared" ref="R485" si="1901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1736771.3886900002</v>
      </c>
      <c r="D487" s="291">
        <f>'(E1) Vlerësimi i burimeve'!X103-'(D1) Tavanet buxhetore'!D494</f>
        <v>1758715.1256900001</v>
      </c>
      <c r="E487" s="291">
        <f>'(E1) Vlerësimi i burimeve'!AG103-'(D1) Tavanet buxhetore'!E494</f>
        <v>1786878.9806900001</v>
      </c>
    </row>
    <row r="488" spans="1:20" s="218" customFormat="1" x14ac:dyDescent="0.25">
      <c r="A488" s="223"/>
      <c r="F488" s="223"/>
    </row>
    <row r="489" spans="1:20" x14ac:dyDescent="0.25">
      <c r="A489" s="554" t="str">
        <f>'(G1) Fjalori'!A746</f>
        <v>FONDI REZERVE NË PËRQINDJE (%)</v>
      </c>
      <c r="B489" s="558"/>
      <c r="C489" s="559">
        <v>1.7000000000000001E-2</v>
      </c>
      <c r="D489" s="559">
        <v>1.7000000000000001E-2</v>
      </c>
      <c r="E489" s="559">
        <v>1.7000000000000001E-2</v>
      </c>
    </row>
    <row r="490" spans="1:20" x14ac:dyDescent="0.25">
      <c r="A490" s="554" t="str">
        <f>'(G1) Fjalori'!A747</f>
        <v>FONDI REZERVE: 04910</v>
      </c>
      <c r="B490" s="553"/>
      <c r="C490" s="553">
        <f>C489*('(E1) Vlerësimi i burimeve'!O103-'(E1) Vlerësimi i burimeve'!O93)</f>
        <v>13642.200630000003</v>
      </c>
      <c r="D490" s="289">
        <f>D489*('(E1) Vlerësimi i burimeve'!X103-'(E1) Vlerësimi i burimeve'!X93)</f>
        <v>14018.699630000003</v>
      </c>
      <c r="E490" s="289">
        <f>E489*('(E1) Vlerësimi i burimeve'!AG103-'(E1) Vlerësimi i burimeve'!AG93)</f>
        <v>14511.784630000004</v>
      </c>
    </row>
    <row r="491" spans="1:20" x14ac:dyDescent="0.25">
      <c r="A491" s="554" t="str">
        <f>'(G1) Fjalori'!A748</f>
        <v>FONDI KONTINGJENCËS NË PËRQINDJE (%)</v>
      </c>
      <c r="B491" s="553"/>
      <c r="C491" s="559">
        <v>1.2E-2</v>
      </c>
      <c r="D491" s="559">
        <v>1.2E-2</v>
      </c>
      <c r="E491" s="559">
        <v>1.2E-2</v>
      </c>
    </row>
    <row r="492" spans="1:20" x14ac:dyDescent="0.25">
      <c r="A492" s="554" t="str">
        <f>'(G1) Fjalori'!A749</f>
        <v>FONDI KONTINGJENCËS: 04940</v>
      </c>
      <c r="B492" s="553"/>
      <c r="C492" s="289">
        <f>C491*('(E1) Vlerësimi i burimeve'!O103-'(E1) Vlerësimi i burimeve'!O93)</f>
        <v>9629.7886800000015</v>
      </c>
      <c r="D492" s="289">
        <f>D491*('(E1) Vlerësimi i burimeve'!X103-'(E1) Vlerësimi i burimeve'!X93)</f>
        <v>9895.5526800000025</v>
      </c>
      <c r="E492" s="289">
        <f>E491*('(E1) Vlerësimi i burimeve'!AG103-'(E1) Vlerësimi i burimeve'!AG93)</f>
        <v>10243.612680000002</v>
      </c>
    </row>
    <row r="493" spans="1:20" x14ac:dyDescent="0.15">
      <c r="A493" s="555" t="str">
        <f>'(G1) Fjalori'!A750</f>
        <v>TOTALI FONDEVE NË PËRQINDJE (%)</v>
      </c>
      <c r="B493" s="553"/>
      <c r="C493" s="560">
        <f>C489+C491</f>
        <v>2.9000000000000001E-2</v>
      </c>
      <c r="D493" s="560">
        <f t="shared" ref="D493:E493" si="1902">D489+D491</f>
        <v>2.9000000000000001E-2</v>
      </c>
      <c r="E493" s="560">
        <f t="shared" si="1902"/>
        <v>2.9000000000000001E-2</v>
      </c>
      <c r="F493" s="407" t="str">
        <f>IF(C493&gt;3%,"STOPP!","OK!")</f>
        <v>OK!</v>
      </c>
      <c r="G493" s="407" t="str">
        <f t="shared" ref="G493:R493" si="1903">IF(D493&gt;3%,"STOPP!","OK!")</f>
        <v>OK!</v>
      </c>
      <c r="H493" s="407" t="str">
        <f t="shared" si="1903"/>
        <v>OK!</v>
      </c>
      <c r="I493" s="407" t="str">
        <f t="shared" si="1903"/>
        <v>STOPP!</v>
      </c>
      <c r="J493" s="407" t="str">
        <f t="shared" si="1903"/>
        <v>STOPP!</v>
      </c>
      <c r="K493" s="407" t="str">
        <f t="shared" si="1903"/>
        <v>STOPP!</v>
      </c>
      <c r="L493" s="407" t="str">
        <f t="shared" si="1903"/>
        <v>STOPP!</v>
      </c>
      <c r="M493" s="407" t="str">
        <f t="shared" si="1903"/>
        <v>STOPP!</v>
      </c>
      <c r="N493" s="407" t="str">
        <f t="shared" si="1903"/>
        <v>STOPP!</v>
      </c>
      <c r="O493" s="407" t="str">
        <f t="shared" si="1903"/>
        <v>STOPP!</v>
      </c>
      <c r="P493" s="407" t="str">
        <f t="shared" si="1903"/>
        <v>STOPP!</v>
      </c>
      <c r="Q493" s="407" t="str">
        <f t="shared" si="1903"/>
        <v>STOPP!</v>
      </c>
      <c r="R493" s="407" t="str">
        <f t="shared" si="1903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7" customFormat="1" x14ac:dyDescent="0.25">
      <c r="A494" s="555" t="str">
        <f>'(G1) Fjalori'!A751</f>
        <v>TOTALI I FONDEVE REZERVE + KONTIGJENCË</v>
      </c>
      <c r="B494" s="556"/>
      <c r="C494" s="291">
        <f>SUM(C490:C492)</f>
        <v>23272.001310000007</v>
      </c>
      <c r="D494" s="291">
        <f t="shared" ref="D494:E494" si="1904">SUM(D490:D492)</f>
        <v>23914.264310000006</v>
      </c>
      <c r="E494" s="291">
        <f t="shared" si="1904"/>
        <v>24755.409310000006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GZLrdn7XFpIoaS9rSZYOIDYqSfIlhBj+fox8c4hL1PP3BC9yLiscsoUiWyUdnPma7dwBEfRdBWvtGUcj5sex6Q==" saltValue="h4tVIm0JCImZ0f0N152Tjg==" spinCount="100000"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zoomScaleNormal="100" workbookViewId="0">
      <selection activeCell="C18" sqref="C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41" t="str">
        <f>'(G1) Fjalori'!A332</f>
        <v>(D2) LLOGARITJET MAKROEKONOMIKE</v>
      </c>
      <c r="B3" s="842"/>
      <c r="C3" s="842"/>
      <c r="D3" s="842"/>
      <c r="E3" s="842"/>
      <c r="F3" s="842"/>
      <c r="G3" s="843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2019</v>
      </c>
      <c r="C5" s="57">
        <f>'(A1) Titulli'!B40</f>
        <v>2020</v>
      </c>
      <c r="D5" s="57">
        <f>'(A1) Titulli'!B41</f>
        <v>2021</v>
      </c>
      <c r="E5" s="170">
        <f>'(A1) Titulli'!B42</f>
        <v>2022</v>
      </c>
      <c r="F5" s="170">
        <f>'(A1) Titulli'!B43</f>
        <v>2023</v>
      </c>
      <c r="G5" s="170">
        <f>'(A1) Titulli'!B44</f>
        <v>2024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/>
      <c r="C18" s="383"/>
      <c r="D18" s="383"/>
      <c r="E18" s="383"/>
      <c r="F18" s="383"/>
      <c r="G18" s="383"/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97ghrOk6ZBQT/hOs68phZRnucjHGyx5+Jk1terP2UkFefVCbzPMpmO6FQi5bWMwQE+oXc58E7P/+bTpCJBn6+w==" saltValue="q95vaQlrK7t6+9q0Taq8vw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zoomScale="85" zoomScaleNormal="85" workbookViewId="0">
      <selection activeCell="O96" sqref="O96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913" t="str">
        <f>'(G1) Fjalori'!A13</f>
        <v>Verdhë = Per tu plotësuar nga Departamenti i Financës</v>
      </c>
      <c r="B1" s="914"/>
      <c r="C1" s="914"/>
      <c r="D1" s="914"/>
      <c r="E1" s="914"/>
      <c r="F1" s="914"/>
      <c r="G1" s="914"/>
      <c r="H1" s="914"/>
      <c r="I1" s="914"/>
      <c r="J1" s="914"/>
      <c r="K1" s="914"/>
      <c r="L1" s="914"/>
      <c r="M1" s="914"/>
      <c r="N1" s="914"/>
      <c r="O1" s="914"/>
      <c r="P1" s="914"/>
      <c r="Q1" s="914"/>
      <c r="R1" s="914"/>
      <c r="S1" s="914"/>
      <c r="T1" s="914"/>
      <c r="U1" s="914"/>
      <c r="V1" s="914"/>
      <c r="W1" s="914"/>
      <c r="X1" s="914"/>
      <c r="Y1" s="914"/>
      <c r="Z1" s="914"/>
      <c r="AA1" s="914"/>
      <c r="AB1" s="914"/>
      <c r="AC1" s="914"/>
      <c r="AD1" s="914"/>
      <c r="AE1" s="914"/>
      <c r="AF1" s="914"/>
      <c r="AG1" s="915"/>
    </row>
    <row r="2" spans="1:33" s="221" customFormat="1" x14ac:dyDescent="0.25">
      <c r="D2" s="222"/>
    </row>
    <row r="3" spans="1:33" s="221" customFormat="1" ht="21" x14ac:dyDescent="0.25">
      <c r="A3" s="857" t="str">
        <f>'(G1) Fjalori'!A353</f>
        <v>(E1) VLERËSIMI I BURIMEVE BUXHETORE</v>
      </c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  <c r="O3" s="858"/>
      <c r="P3" s="858"/>
      <c r="Q3" s="858"/>
      <c r="R3" s="858"/>
      <c r="S3" s="858"/>
      <c r="T3" s="858"/>
      <c r="U3" s="858"/>
      <c r="V3" s="858"/>
      <c r="W3" s="858"/>
      <c r="X3" s="858"/>
      <c r="Y3" s="858"/>
      <c r="Z3" s="858"/>
      <c r="AA3" s="858"/>
      <c r="AB3" s="858"/>
      <c r="AC3" s="858"/>
      <c r="AD3" s="858"/>
      <c r="AE3" s="858"/>
      <c r="AF3" s="858"/>
      <c r="AG3" s="859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  <c r="G5" s="916">
        <f>'(A1) Titulli'!B42</f>
        <v>2022</v>
      </c>
      <c r="H5" s="917"/>
      <c r="I5" s="917"/>
      <c r="J5" s="917"/>
      <c r="K5" s="917"/>
      <c r="L5" s="917"/>
      <c r="M5" s="917"/>
      <c r="N5" s="917"/>
      <c r="O5" s="918"/>
      <c r="P5" s="916">
        <f>'(A1) Titulli'!B43</f>
        <v>2023</v>
      </c>
      <c r="Q5" s="917"/>
      <c r="R5" s="917"/>
      <c r="S5" s="917"/>
      <c r="T5" s="917"/>
      <c r="U5" s="917"/>
      <c r="V5" s="917"/>
      <c r="W5" s="917"/>
      <c r="X5" s="917"/>
      <c r="Y5" s="916">
        <f>'(A1) Titulli'!B44</f>
        <v>2024</v>
      </c>
      <c r="Z5" s="917"/>
      <c r="AA5" s="917"/>
      <c r="AB5" s="917"/>
      <c r="AC5" s="917"/>
      <c r="AD5" s="917"/>
      <c r="AE5" s="917"/>
      <c r="AF5" s="917"/>
      <c r="AG5" s="918"/>
    </row>
    <row r="6" spans="1:33" s="226" customFormat="1" ht="192.7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911" t="str">
        <f>'(G1) Fjalori'!A218</f>
        <v>TË ARDHURA NGA BURIMET E VETA</v>
      </c>
      <c r="C7" s="912"/>
      <c r="D7" s="398">
        <f>'(C2) Burimet viti kaluar'!D7</f>
        <v>119400</v>
      </c>
      <c r="E7" s="398">
        <f>'(C2) Burimet viti kaluar'!E7</f>
        <v>117869</v>
      </c>
      <c r="F7" s="398">
        <f>'(C2) Burimet viti kaluar'!F7</f>
        <v>151065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151065.39000000001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151065.39000000001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151065.39000000001</v>
      </c>
    </row>
    <row r="8" spans="1:33" s="221" customFormat="1" ht="18.75" x14ac:dyDescent="0.25">
      <c r="A8" s="254" t="str">
        <f>'(C2) Burimet viti kaluar'!C8</f>
        <v>A.1</v>
      </c>
      <c r="B8" s="876" t="str">
        <f>'(G1) Fjalori'!A219</f>
        <v>TË ARDHURA NGA TAKSAT LOKALE</v>
      </c>
      <c r="C8" s="877"/>
      <c r="D8" s="399">
        <f>'(C2) Burimet viti kaluar'!D8</f>
        <v>28580</v>
      </c>
      <c r="E8" s="399">
        <f>'(C2) Burimet viti kaluar'!E8</f>
        <v>24707</v>
      </c>
      <c r="F8" s="399">
        <f>'(C2) Burimet viti kaluar'!F8</f>
        <v>40101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48685.69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48685.69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48685.69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2073</v>
      </c>
      <c r="E9" s="235">
        <f>'(C2) Burimet viti kaluar'!E9</f>
        <v>1046</v>
      </c>
      <c r="F9" s="235">
        <f>'(C2) Burimet viti kaluar'!F9</f>
        <v>2100</v>
      </c>
      <c r="G9" s="32">
        <v>0.05</v>
      </c>
      <c r="H9" s="32"/>
      <c r="I9" s="32">
        <v>7.0000000000000007E-2</v>
      </c>
      <c r="J9" s="32">
        <v>0.05</v>
      </c>
      <c r="K9" s="32"/>
      <c r="L9" s="32"/>
      <c r="M9" s="32"/>
      <c r="N9" s="273"/>
      <c r="O9" s="36">
        <f>IF(F9&lt;&gt;0,F9*(1+(SUM(G9:M9))),N9)</f>
        <v>2457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2457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2457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14291</v>
      </c>
      <c r="E10" s="248">
        <f>'(C2) Burimet viti kaluar'!E10</f>
        <v>11880</v>
      </c>
      <c r="F10" s="248">
        <f>'(C2) Burimet viti kaluar'!F10</f>
        <v>24101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28638.69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28638.69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28638.69</v>
      </c>
    </row>
    <row r="11" spans="1:33" s="221" customFormat="1" x14ac:dyDescent="0.2">
      <c r="A11" s="248" t="str">
        <f>'(C2) Burimet viti kaluar'!C11</f>
        <v>A.1.2.1</v>
      </c>
      <c r="B11" s="872" t="str">
        <f>'(G1) Fjalori'!A222</f>
        <v>Taksa mbi ndërtesën</v>
      </c>
      <c r="C11" s="873"/>
      <c r="D11" s="503">
        <f>'(C2) Burimet viti kaluar'!D11</f>
        <v>11344</v>
      </c>
      <c r="E11" s="235">
        <f>'(C2) Burimet viti kaluar'!E11</f>
        <v>8914</v>
      </c>
      <c r="F11" s="235">
        <f>'(C2) Burimet viti kaluar'!F11</f>
        <v>17451</v>
      </c>
      <c r="G11" s="32">
        <v>0.04</v>
      </c>
      <c r="H11" s="32">
        <v>0.06</v>
      </c>
      <c r="I11" s="32">
        <v>0.03</v>
      </c>
      <c r="J11" s="32">
        <v>0.03</v>
      </c>
      <c r="K11" s="32">
        <v>0.03</v>
      </c>
      <c r="L11" s="32"/>
      <c r="M11" s="32"/>
      <c r="N11" s="273"/>
      <c r="O11" s="36">
        <f>IF(F11&lt;&gt;0,F11*(1+(SUM(G11:M11))),N11)</f>
        <v>20766.689999999999</v>
      </c>
      <c r="P11" s="32"/>
      <c r="Q11" s="32"/>
      <c r="R11" s="32"/>
      <c r="S11" s="32"/>
      <c r="T11" s="32"/>
      <c r="U11" s="32"/>
      <c r="V11" s="32"/>
      <c r="W11" s="273"/>
      <c r="X11" s="36">
        <f>IF(O11&lt;&gt;0,O11*(1+(SUM(P11:V11))),W11)</f>
        <v>20766.689999999999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20766.689999999999</v>
      </c>
    </row>
    <row r="12" spans="1:33" s="221" customFormat="1" x14ac:dyDescent="0.2">
      <c r="A12" s="248" t="str">
        <f>'(C2) Burimet viti kaluar'!C12</f>
        <v>A.1.2.2</v>
      </c>
      <c r="B12" s="872" t="str">
        <f>'(G1) Fjalori'!A223</f>
        <v>Taksa mbi tokën bujqësore</v>
      </c>
      <c r="C12" s="873"/>
      <c r="D12" s="235">
        <f>'(C2) Burimet viti kaluar'!D12</f>
        <v>2267</v>
      </c>
      <c r="E12" s="235">
        <f>'(C2) Burimet viti kaluar'!E12</f>
        <v>1393</v>
      </c>
      <c r="F12" s="235">
        <f>'(C2) Burimet viti kaluar'!F12</f>
        <v>5300</v>
      </c>
      <c r="G12" s="32"/>
      <c r="H12" s="32">
        <v>0.04</v>
      </c>
      <c r="I12" s="32">
        <v>0.06</v>
      </c>
      <c r="J12" s="32">
        <v>0.05</v>
      </c>
      <c r="K12" s="32"/>
      <c r="L12" s="32"/>
      <c r="M12" s="32">
        <v>0.03</v>
      </c>
      <c r="N12" s="273"/>
      <c r="O12" s="36">
        <f t="shared" ref="O12:O21" si="3">IF(F12&lt;&gt;0,F12*(1+(SUM(G12:M12))),N12)</f>
        <v>6254</v>
      </c>
      <c r="P12" s="32"/>
      <c r="Q12" s="32"/>
      <c r="R12" s="32"/>
      <c r="S12" s="32"/>
      <c r="T12" s="32"/>
      <c r="U12" s="32"/>
      <c r="V12" s="32"/>
      <c r="W12" s="273"/>
      <c r="X12" s="36">
        <f t="shared" ref="X12:X27" si="4">IF(O12&lt;&gt;0,O12*(1+(SUM(P12:V12))),W12)</f>
        <v>6254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6254</v>
      </c>
    </row>
    <row r="13" spans="1:33" s="221" customFormat="1" x14ac:dyDescent="0.2">
      <c r="A13" s="248" t="str">
        <f>'(C2) Burimet viti kaluar'!C13</f>
        <v>A.1.2.3</v>
      </c>
      <c r="B13" s="872" t="str">
        <f>'(G1) Fjalori'!A224</f>
        <v>Taksa mbi truallin</v>
      </c>
      <c r="C13" s="873"/>
      <c r="D13" s="235">
        <f>'(C2) Burimet viti kaluar'!D13</f>
        <v>463</v>
      </c>
      <c r="E13" s="235">
        <f>'(C2) Burimet viti kaluar'!E13</f>
        <v>814</v>
      </c>
      <c r="F13" s="235">
        <f>'(C2) Burimet viti kaluar'!F13</f>
        <v>850</v>
      </c>
      <c r="G13" s="32">
        <v>0.08</v>
      </c>
      <c r="H13" s="32"/>
      <c r="I13" s="32">
        <v>0.04</v>
      </c>
      <c r="J13" s="32">
        <v>0.03</v>
      </c>
      <c r="K13" s="32">
        <v>0.03</v>
      </c>
      <c r="L13" s="32"/>
      <c r="M13" s="32"/>
      <c r="N13" s="273"/>
      <c r="O13" s="36">
        <f t="shared" si="3"/>
        <v>1003</v>
      </c>
      <c r="P13" s="32"/>
      <c r="Q13" s="32"/>
      <c r="R13" s="32"/>
      <c r="S13" s="32"/>
      <c r="T13" s="32"/>
      <c r="U13" s="32"/>
      <c r="V13" s="32"/>
      <c r="W13" s="273"/>
      <c r="X13" s="36">
        <f t="shared" si="4"/>
        <v>1003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1003</v>
      </c>
    </row>
    <row r="14" spans="1:33" s="221" customFormat="1" x14ac:dyDescent="0.2">
      <c r="A14" s="248" t="str">
        <f>'(C2) Burimet viti kaluar'!C14</f>
        <v>A.1.2.4</v>
      </c>
      <c r="B14" s="872" t="str">
        <f>'(G1) Fjalori'!A225</f>
        <v>Taksa mbi transaksionet e pasurisë</v>
      </c>
      <c r="C14" s="873"/>
      <c r="D14" s="235">
        <f>'(C2) Burimet viti kaluar'!D14</f>
        <v>217</v>
      </c>
      <c r="E14" s="235">
        <f>'(C2) Burimet viti kaluar'!E14</f>
        <v>759</v>
      </c>
      <c r="F14" s="235">
        <f>'(C2) Burimet viti kaluar'!F14</f>
        <v>500</v>
      </c>
      <c r="G14" s="32"/>
      <c r="H14" s="32">
        <v>0.08</v>
      </c>
      <c r="I14" s="32">
        <v>0.05</v>
      </c>
      <c r="J14" s="32">
        <v>0.03</v>
      </c>
      <c r="K14" s="32"/>
      <c r="L14" s="32">
        <v>7.0000000000000007E-2</v>
      </c>
      <c r="M14" s="32"/>
      <c r="N14" s="273"/>
      <c r="O14" s="36">
        <f t="shared" si="3"/>
        <v>615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615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615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513</v>
      </c>
      <c r="E15" s="235">
        <f>'(C2) Burimet viti kaluar'!E15</f>
        <v>272</v>
      </c>
      <c r="F15" s="235">
        <f>'(C2) Burimet viti kaluar'!F15</f>
        <v>3000</v>
      </c>
      <c r="G15" s="32">
        <v>0.05</v>
      </c>
      <c r="H15" s="32">
        <v>7.0000000000000007E-2</v>
      </c>
      <c r="I15" s="32"/>
      <c r="J15" s="32">
        <v>0.03</v>
      </c>
      <c r="K15" s="32">
        <v>3.7999999999999999E-2</v>
      </c>
      <c r="L15" s="32"/>
      <c r="M15" s="32"/>
      <c r="N15" s="273"/>
      <c r="O15" s="36">
        <f t="shared" si="3"/>
        <v>3564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3564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3564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10952</v>
      </c>
      <c r="E16" s="235">
        <f>'(C2) Burimet viti kaluar'!E16</f>
        <v>10468</v>
      </c>
      <c r="F16" s="235">
        <f>'(C2) Burimet viti kaluar'!F16</f>
        <v>10000</v>
      </c>
      <c r="G16" s="32"/>
      <c r="H16" s="32">
        <v>7.0000000000000007E-2</v>
      </c>
      <c r="I16" s="32">
        <v>0.02</v>
      </c>
      <c r="J16" s="32">
        <v>0.03</v>
      </c>
      <c r="K16" s="32">
        <v>0.09</v>
      </c>
      <c r="L16" s="32">
        <v>0.09</v>
      </c>
      <c r="M16" s="32"/>
      <c r="N16" s="273"/>
      <c r="O16" s="36">
        <f t="shared" si="3"/>
        <v>13000</v>
      </c>
      <c r="P16" s="32"/>
      <c r="Q16" s="32"/>
      <c r="R16" s="32"/>
      <c r="S16" s="32"/>
      <c r="T16" s="32"/>
      <c r="U16" s="32"/>
      <c r="V16" s="32"/>
      <c r="W16" s="273"/>
      <c r="X16" s="36">
        <f t="shared" si="4"/>
        <v>13000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13000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751</v>
      </c>
      <c r="E17" s="235">
        <f>'(C2) Burimet viti kaluar'!E17</f>
        <v>1041</v>
      </c>
      <c r="F17" s="235">
        <f>'(C2) Burimet viti kaluar'!F17</f>
        <v>900</v>
      </c>
      <c r="G17" s="32"/>
      <c r="H17" s="32">
        <v>0.03</v>
      </c>
      <c r="I17" s="32"/>
      <c r="J17" s="32">
        <v>0.06</v>
      </c>
      <c r="K17" s="32">
        <v>0.05</v>
      </c>
      <c r="L17" s="32"/>
      <c r="M17" s="32"/>
      <c r="N17" s="273"/>
      <c r="O17" s="36">
        <f t="shared" si="3"/>
        <v>1026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1026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1026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76" t="str">
        <f>'(G1) Fjalori'!A233</f>
        <v>TË ARDHURA NGA TAKSAT E NDARA (GRANTE)</v>
      </c>
      <c r="C22" s="877"/>
      <c r="D22" s="399">
        <f>'(C2) Burimet viti kaluar'!D22</f>
        <v>17508</v>
      </c>
      <c r="E22" s="399">
        <f>'(C2) Burimet viti kaluar'!E22</f>
        <v>22353</v>
      </c>
      <c r="F22" s="399">
        <f>'(C2) Burimet viti kaluar'!F22</f>
        <v>17600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17600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17600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17600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0</v>
      </c>
      <c r="E23" s="235">
        <f>'(C2) Burimet viti kaluar'!E23</f>
        <v>302</v>
      </c>
      <c r="F23" s="235">
        <f>'(C2) Burimet viti kaluar'!F23</f>
        <v>0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0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0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17468</v>
      </c>
      <c r="E24" s="235">
        <f>'(C2) Burimet viti kaluar'!E24</f>
        <v>22051</v>
      </c>
      <c r="F24" s="235">
        <f>'(C2) Burimet viti kaluar'!F24</f>
        <v>17600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17600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17600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17600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40</v>
      </c>
      <c r="E25" s="235">
        <f>'(C2) Burimet viti kaluar'!E25</f>
        <v>0</v>
      </c>
      <c r="F25" s="235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0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0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2019</v>
      </c>
      <c r="E29" s="506">
        <f t="shared" ref="E29:F29" si="7">E5</f>
        <v>2020</v>
      </c>
      <c r="F29" s="506">
        <f t="shared" si="7"/>
        <v>2021</v>
      </c>
      <c r="G29" s="916">
        <f>G5</f>
        <v>2022</v>
      </c>
      <c r="H29" s="917"/>
      <c r="I29" s="917"/>
      <c r="J29" s="917"/>
      <c r="K29" s="917"/>
      <c r="L29" s="917"/>
      <c r="M29" s="917"/>
      <c r="N29" s="917"/>
      <c r="O29" s="918"/>
      <c r="P29" s="916">
        <f>P5</f>
        <v>2023</v>
      </c>
      <c r="Q29" s="917"/>
      <c r="R29" s="917"/>
      <c r="S29" s="917"/>
      <c r="T29" s="917"/>
      <c r="U29" s="917"/>
      <c r="V29" s="917"/>
      <c r="W29" s="917"/>
      <c r="X29" s="917"/>
      <c r="Y29" s="916">
        <f>Y5</f>
        <v>2024</v>
      </c>
      <c r="Z29" s="917"/>
      <c r="AA29" s="917"/>
      <c r="AB29" s="917"/>
      <c r="AC29" s="917"/>
      <c r="AD29" s="917"/>
      <c r="AE29" s="917"/>
      <c r="AF29" s="917"/>
      <c r="AG29" s="918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908"/>
      <c r="H30" s="909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908"/>
      <c r="Q30" s="909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908"/>
      <c r="Z30" s="909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76" t="str">
        <f>'(G1) Fjalori'!A239</f>
        <v>TË ARDHURA NGA TARIFA VENDORE</v>
      </c>
      <c r="C31" s="877"/>
      <c r="D31" s="399">
        <f>'(C2) Burimet viti kaluar'!D28</f>
        <v>59035</v>
      </c>
      <c r="E31" s="399">
        <f>'(C2) Burimet viti kaluar'!E28</f>
        <v>40682</v>
      </c>
      <c r="F31" s="399">
        <f>'(C2) Burimet viti kaluar'!F28</f>
        <v>83164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84779.7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84779.7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84779.7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12415</v>
      </c>
      <c r="E32" s="248">
        <f>'(C2) Burimet viti kaluar'!E29</f>
        <v>15159</v>
      </c>
      <c r="F32" s="248">
        <f>'(C2) Burimet viti kaluar'!F29</f>
        <v>19050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19253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19253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19253</v>
      </c>
    </row>
    <row r="33" spans="1:33" s="221" customFormat="1" x14ac:dyDescent="0.2">
      <c r="A33" s="248" t="str">
        <f>'(C2) Burimet viti kaluar'!C30</f>
        <v>A.3.1.1</v>
      </c>
      <c r="B33" s="872" t="str">
        <f>'(G1) Fjalori'!A241</f>
        <v>Tarifa e pastrimit për familjet</v>
      </c>
      <c r="C33" s="873"/>
      <c r="D33" s="235">
        <f>'(C2) Burimet viti kaluar'!D30</f>
        <v>1310</v>
      </c>
      <c r="E33" s="235">
        <f>'(C2) Burimet viti kaluar'!E30</f>
        <v>3044</v>
      </c>
      <c r="F33" s="235">
        <f>'(C2) Burimet viti kaluar'!F30</f>
        <v>6500</v>
      </c>
      <c r="G33" s="905"/>
      <c r="H33" s="906"/>
      <c r="I33" s="32"/>
      <c r="J33" s="32"/>
      <c r="K33" s="32"/>
      <c r="L33" s="32"/>
      <c r="M33" s="32"/>
      <c r="N33" s="273"/>
      <c r="O33" s="36">
        <f>IF(F33&lt;&gt;0,F33*(1+(SUM(I33:M33))),N33)</f>
        <v>6500</v>
      </c>
      <c r="P33" s="905"/>
      <c r="Q33" s="906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6500</v>
      </c>
      <c r="Y33" s="905"/>
      <c r="Z33" s="906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6500</v>
      </c>
    </row>
    <row r="34" spans="1:33" s="221" customFormat="1" x14ac:dyDescent="0.2">
      <c r="A34" s="248" t="str">
        <f>'(C2) Burimet viti kaluar'!C31</f>
        <v>A.3.1.2</v>
      </c>
      <c r="B34" s="872" t="str">
        <f>'(G1) Fjalori'!A242</f>
        <v>Tarifa e pastrimit për institucionet</v>
      </c>
      <c r="C34" s="873"/>
      <c r="D34" s="235">
        <f>'(C2) Burimet viti kaluar'!D31</f>
        <v>1915</v>
      </c>
      <c r="E34" s="235">
        <f>'(C2) Burimet viti kaluar'!E31</f>
        <v>1980</v>
      </c>
      <c r="F34" s="235">
        <f>'(C2) Burimet viti kaluar'!F31</f>
        <v>2400</v>
      </c>
      <c r="G34" s="905"/>
      <c r="H34" s="906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2400</v>
      </c>
      <c r="P34" s="905"/>
      <c r="Q34" s="906"/>
      <c r="R34" s="32"/>
      <c r="S34" s="32"/>
      <c r="T34" s="32"/>
      <c r="U34" s="32"/>
      <c r="V34" s="32"/>
      <c r="W34" s="273"/>
      <c r="X34" s="36">
        <f t="shared" si="12"/>
        <v>2400</v>
      </c>
      <c r="Y34" s="905"/>
      <c r="Z34" s="906"/>
      <c r="AA34" s="32"/>
      <c r="AB34" s="32"/>
      <c r="AC34" s="32"/>
      <c r="AD34" s="32"/>
      <c r="AE34" s="32"/>
      <c r="AF34" s="273"/>
      <c r="AG34" s="36">
        <f t="shared" si="13"/>
        <v>2400</v>
      </c>
    </row>
    <row r="35" spans="1:33" s="221" customFormat="1" x14ac:dyDescent="0.2">
      <c r="A35" s="248" t="str">
        <f>'(C2) Burimet viti kaluar'!C32</f>
        <v>A.3.1.3</v>
      </c>
      <c r="B35" s="872" t="str">
        <f>'(G1) Fjalori'!A243</f>
        <v>Tarifa e pastrimit për biznesin</v>
      </c>
      <c r="C35" s="873"/>
      <c r="D35" s="235">
        <f>'(C2) Burimet viti kaluar'!D32</f>
        <v>9190</v>
      </c>
      <c r="E35" s="235">
        <f>'(C2) Burimet viti kaluar'!E32</f>
        <v>10135</v>
      </c>
      <c r="F35" s="235">
        <f>'(C2) Burimet viti kaluar'!F32</f>
        <v>10150</v>
      </c>
      <c r="G35" s="905"/>
      <c r="H35" s="906"/>
      <c r="I35" s="32"/>
      <c r="J35" s="32"/>
      <c r="K35" s="32">
        <v>0.02</v>
      </c>
      <c r="L35" s="32"/>
      <c r="M35" s="32"/>
      <c r="N35" s="273"/>
      <c r="O35" s="36">
        <f t="shared" si="14"/>
        <v>10353</v>
      </c>
      <c r="P35" s="905"/>
      <c r="Q35" s="906"/>
      <c r="R35" s="32"/>
      <c r="S35" s="32"/>
      <c r="T35" s="32"/>
      <c r="U35" s="32"/>
      <c r="V35" s="32"/>
      <c r="W35" s="273"/>
      <c r="X35" s="36">
        <f t="shared" si="12"/>
        <v>10353</v>
      </c>
      <c r="Y35" s="905"/>
      <c r="Z35" s="906"/>
      <c r="AA35" s="32"/>
      <c r="AB35" s="32"/>
      <c r="AC35" s="32"/>
      <c r="AD35" s="32"/>
      <c r="AE35" s="32"/>
      <c r="AF35" s="273"/>
      <c r="AG35" s="36">
        <f t="shared" si="13"/>
        <v>10353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905"/>
      <c r="H36" s="906"/>
      <c r="I36" s="32"/>
      <c r="J36" s="32"/>
      <c r="K36" s="32"/>
      <c r="L36" s="32"/>
      <c r="M36" s="32"/>
      <c r="N36" s="273"/>
      <c r="O36" s="36">
        <f t="shared" si="14"/>
        <v>0</v>
      </c>
      <c r="P36" s="905"/>
      <c r="Q36" s="906"/>
      <c r="R36" s="32"/>
      <c r="S36" s="32"/>
      <c r="T36" s="32"/>
      <c r="U36" s="32"/>
      <c r="V36" s="32"/>
      <c r="W36" s="273"/>
      <c r="X36" s="36">
        <f t="shared" si="12"/>
        <v>0</v>
      </c>
      <c r="Y36" s="905"/>
      <c r="Z36" s="906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2608</v>
      </c>
      <c r="E37" s="248">
        <f>'(C2) Burimet viti kaluar'!E34</f>
        <v>1813</v>
      </c>
      <c r="F37" s="248">
        <f>'(C2) Burimet viti kaluar'!F34</f>
        <v>4690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4701.2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4701.2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4701.2</v>
      </c>
    </row>
    <row r="38" spans="1:33" s="221" customFormat="1" x14ac:dyDescent="0.2">
      <c r="A38" s="248" t="str">
        <f>'(C2) Burimet viti kaluar'!C35</f>
        <v>A.3.3.1</v>
      </c>
      <c r="B38" s="872" t="str">
        <f>'(G1) Fjalori'!A246</f>
        <v>Tarifa për ndriçimin publik nga familjet</v>
      </c>
      <c r="C38" s="873"/>
      <c r="D38" s="235">
        <f>'(C2) Burimet viti kaluar'!D35</f>
        <v>514</v>
      </c>
      <c r="E38" s="235">
        <f>'(C2) Burimet viti kaluar'!E35</f>
        <v>323</v>
      </c>
      <c r="F38" s="235">
        <f>'(C2) Burimet viti kaluar'!F35</f>
        <v>2300</v>
      </c>
      <c r="G38" s="905"/>
      <c r="H38" s="906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2300</v>
      </c>
      <c r="P38" s="905"/>
      <c r="Q38" s="906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2300</v>
      </c>
      <c r="Y38" s="905"/>
      <c r="Z38" s="906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2300</v>
      </c>
    </row>
    <row r="39" spans="1:33" s="221" customFormat="1" x14ac:dyDescent="0.2">
      <c r="A39" s="248" t="str">
        <f>'(C2) Burimet viti kaluar'!C36</f>
        <v>A.3.3.2</v>
      </c>
      <c r="B39" s="872" t="str">
        <f>'(G1) Fjalori'!A247</f>
        <v>Tarifa për ndriçimin publik nga institucionet</v>
      </c>
      <c r="C39" s="873"/>
      <c r="D39" s="235">
        <f>'(C2) Burimet viti kaluar'!D36</f>
        <v>138</v>
      </c>
      <c r="E39" s="235">
        <f>'(C2) Burimet viti kaluar'!E36</f>
        <v>141</v>
      </c>
      <c r="F39" s="235">
        <f>'(C2) Burimet viti kaluar'!F36</f>
        <v>140</v>
      </c>
      <c r="G39" s="905"/>
      <c r="H39" s="906"/>
      <c r="I39" s="32"/>
      <c r="J39" s="32">
        <v>0.03</v>
      </c>
      <c r="K39" s="32">
        <v>0.05</v>
      </c>
      <c r="L39" s="32"/>
      <c r="M39" s="32"/>
      <c r="N39" s="273"/>
      <c r="O39" s="36">
        <f t="shared" si="15"/>
        <v>151.20000000000002</v>
      </c>
      <c r="P39" s="905"/>
      <c r="Q39" s="906"/>
      <c r="R39" s="32"/>
      <c r="S39" s="32"/>
      <c r="T39" s="32"/>
      <c r="U39" s="32"/>
      <c r="V39" s="32"/>
      <c r="W39" s="273"/>
      <c r="X39" s="36">
        <f t="shared" si="16"/>
        <v>151.20000000000002</v>
      </c>
      <c r="Y39" s="905"/>
      <c r="Z39" s="906"/>
      <c r="AA39" s="32"/>
      <c r="AB39" s="32"/>
      <c r="AC39" s="32"/>
      <c r="AD39" s="32"/>
      <c r="AE39" s="32"/>
      <c r="AF39" s="273"/>
      <c r="AG39" s="36">
        <f t="shared" si="17"/>
        <v>151.20000000000002</v>
      </c>
    </row>
    <row r="40" spans="1:33" s="221" customFormat="1" x14ac:dyDescent="0.2">
      <c r="A40" s="248" t="str">
        <f>'(C2) Burimet viti kaluar'!C37</f>
        <v>A.3.3.3</v>
      </c>
      <c r="B40" s="872" t="str">
        <f>'(G1) Fjalori'!A248</f>
        <v>Tarifa për ndriçimin publik nga biznesi</v>
      </c>
      <c r="C40" s="873"/>
      <c r="D40" s="235">
        <f>'(C2) Burimet viti kaluar'!D37</f>
        <v>1956</v>
      </c>
      <c r="E40" s="235">
        <f>'(C2) Burimet viti kaluar'!E37</f>
        <v>1349</v>
      </c>
      <c r="F40" s="235">
        <f>'(C2) Burimet viti kaluar'!F37</f>
        <v>2250</v>
      </c>
      <c r="G40" s="905"/>
      <c r="H40" s="906"/>
      <c r="I40" s="32"/>
      <c r="J40" s="32"/>
      <c r="K40" s="32"/>
      <c r="L40" s="32"/>
      <c r="M40" s="32"/>
      <c r="N40" s="273"/>
      <c r="O40" s="36">
        <f t="shared" si="15"/>
        <v>2250</v>
      </c>
      <c r="P40" s="905"/>
      <c r="Q40" s="906"/>
      <c r="R40" s="32"/>
      <c r="S40" s="32"/>
      <c r="T40" s="32"/>
      <c r="U40" s="32"/>
      <c r="V40" s="32"/>
      <c r="W40" s="273"/>
      <c r="X40" s="36">
        <f t="shared" si="16"/>
        <v>2250</v>
      </c>
      <c r="Y40" s="905"/>
      <c r="Z40" s="906"/>
      <c r="AA40" s="32"/>
      <c r="AB40" s="32"/>
      <c r="AC40" s="32"/>
      <c r="AD40" s="32"/>
      <c r="AE40" s="32"/>
      <c r="AF40" s="273"/>
      <c r="AG40" s="36">
        <f t="shared" si="17"/>
        <v>2250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1244</v>
      </c>
      <c r="E41" s="248">
        <f>'(C2) Burimet viti kaluar'!E38</f>
        <v>948</v>
      </c>
      <c r="F41" s="248">
        <f>'(C2) Burimet viti kaluar'!F38</f>
        <v>1450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1517.5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1517.5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1517.5</v>
      </c>
    </row>
    <row r="42" spans="1:33" s="221" customFormat="1" x14ac:dyDescent="0.2">
      <c r="A42" s="248" t="str">
        <f>'(C2) Burimet viti kaluar'!C39</f>
        <v>A.3.4.1</v>
      </c>
      <c r="B42" s="872" t="str">
        <f>'(G1) Fjalori'!A250</f>
        <v>Tarifa për gjelbërimin nga familjet</v>
      </c>
      <c r="C42" s="873"/>
      <c r="D42" s="235">
        <f>'(C2) Burimet viti kaluar'!D39</f>
        <v>0</v>
      </c>
      <c r="E42" s="235">
        <f>'(C2) Burimet viti kaluar'!E39</f>
        <v>0</v>
      </c>
      <c r="F42" s="235">
        <f>'(C2) Burimet viti kaluar'!F39</f>
        <v>0</v>
      </c>
      <c r="G42" s="905"/>
      <c r="H42" s="906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0</v>
      </c>
      <c r="P42" s="905"/>
      <c r="Q42" s="906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0</v>
      </c>
      <c r="Y42" s="905"/>
      <c r="Z42" s="906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0</v>
      </c>
    </row>
    <row r="43" spans="1:33" s="221" customFormat="1" x14ac:dyDescent="0.2">
      <c r="A43" s="248" t="str">
        <f>'(C2) Burimet viti kaluar'!C40</f>
        <v>A.3.4.2</v>
      </c>
      <c r="B43" s="872" t="str">
        <f>'(G1) Fjalori'!A251</f>
        <v>Tarifa për gjelbërimin nga Institucionet</v>
      </c>
      <c r="C43" s="873"/>
      <c r="D43" s="235">
        <f>'(C2) Burimet viti kaluar'!D40</f>
        <v>81</v>
      </c>
      <c r="E43" s="235">
        <f>'(C2) Burimet viti kaluar'!E40</f>
        <v>97</v>
      </c>
      <c r="F43" s="235">
        <f>'(C2) Burimet viti kaluar'!F40</f>
        <v>100</v>
      </c>
      <c r="G43" s="905"/>
      <c r="H43" s="906"/>
      <c r="I43" s="32"/>
      <c r="J43" s="32"/>
      <c r="K43" s="32"/>
      <c r="L43" s="32"/>
      <c r="M43" s="32"/>
      <c r="N43" s="273"/>
      <c r="O43" s="36">
        <f t="shared" si="18"/>
        <v>100</v>
      </c>
      <c r="P43" s="905"/>
      <c r="Q43" s="906"/>
      <c r="R43" s="32"/>
      <c r="S43" s="32"/>
      <c r="T43" s="32"/>
      <c r="U43" s="32"/>
      <c r="V43" s="32"/>
      <c r="W43" s="273"/>
      <c r="X43" s="36">
        <f t="shared" si="19"/>
        <v>100</v>
      </c>
      <c r="Y43" s="905"/>
      <c r="Z43" s="906"/>
      <c r="AA43" s="32"/>
      <c r="AB43" s="32"/>
      <c r="AC43" s="32"/>
      <c r="AD43" s="32"/>
      <c r="AE43" s="32"/>
      <c r="AF43" s="273"/>
      <c r="AG43" s="36">
        <f t="shared" si="20"/>
        <v>100</v>
      </c>
    </row>
    <row r="44" spans="1:33" s="221" customFormat="1" x14ac:dyDescent="0.2">
      <c r="A44" s="248" t="str">
        <f>'(C2) Burimet viti kaluar'!C41</f>
        <v>A.3.4.3</v>
      </c>
      <c r="B44" s="872" t="str">
        <f>'(G1) Fjalori'!A252</f>
        <v>Tarifa për gjelbërimin nga bizneset</v>
      </c>
      <c r="C44" s="873"/>
      <c r="D44" s="235">
        <f>'(C2) Burimet viti kaluar'!D41</f>
        <v>1163</v>
      </c>
      <c r="E44" s="235">
        <f>'(C2) Burimet viti kaluar'!E41</f>
        <v>851</v>
      </c>
      <c r="F44" s="235">
        <f>'(C2) Burimet viti kaluar'!F41</f>
        <v>1350</v>
      </c>
      <c r="G44" s="905"/>
      <c r="H44" s="906"/>
      <c r="I44" s="32"/>
      <c r="J44" s="32"/>
      <c r="K44" s="32"/>
      <c r="L44" s="32">
        <v>0.05</v>
      </c>
      <c r="M44" s="32"/>
      <c r="N44" s="273"/>
      <c r="O44" s="36">
        <f t="shared" si="18"/>
        <v>1417.5</v>
      </c>
      <c r="P44" s="905"/>
      <c r="Q44" s="906"/>
      <c r="R44" s="32"/>
      <c r="S44" s="32"/>
      <c r="T44" s="32"/>
      <c r="U44" s="32"/>
      <c r="V44" s="32"/>
      <c r="W44" s="273"/>
      <c r="X44" s="36">
        <f t="shared" si="19"/>
        <v>1417.5</v>
      </c>
      <c r="Y44" s="905"/>
      <c r="Z44" s="906"/>
      <c r="AA44" s="32"/>
      <c r="AB44" s="32"/>
      <c r="AC44" s="32"/>
      <c r="AD44" s="32"/>
      <c r="AE44" s="32"/>
      <c r="AF44" s="273"/>
      <c r="AG44" s="36">
        <f t="shared" si="20"/>
        <v>1417.5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6216</v>
      </c>
      <c r="E45" s="248">
        <f>'(C2) Burimet viti kaluar'!E42</f>
        <v>8749</v>
      </c>
      <c r="F45" s="248">
        <f>'(C2) Burimet viti kaluar'!F42</f>
        <v>9874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10126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10126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10126</v>
      </c>
    </row>
    <row r="46" spans="1:33" s="221" customFormat="1" x14ac:dyDescent="0.2">
      <c r="A46" s="248" t="str">
        <f>'(C2) Burimet viti kaluar'!C43</f>
        <v>A.3.5.1</v>
      </c>
      <c r="B46" s="872" t="str">
        <f>'(G1) Fjalori'!A254</f>
        <v>Tarifa për shërbimet administrative të bashkisë</v>
      </c>
      <c r="C46" s="873"/>
      <c r="D46" s="235">
        <f>'(C2) Burimet viti kaluar'!D43</f>
        <v>3102</v>
      </c>
      <c r="E46" s="235">
        <f>'(C2) Burimet viti kaluar'!E43</f>
        <v>2774</v>
      </c>
      <c r="F46" s="235">
        <f>'(C2) Burimet viti kaluar'!F43</f>
        <v>3000</v>
      </c>
      <c r="G46" s="905"/>
      <c r="H46" s="906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3000</v>
      </c>
      <c r="P46" s="905"/>
      <c r="Q46" s="906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3000</v>
      </c>
      <c r="Y46" s="905"/>
      <c r="Z46" s="906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3000</v>
      </c>
    </row>
    <row r="47" spans="1:33" s="221" customFormat="1" x14ac:dyDescent="0.2">
      <c r="A47" s="248" t="str">
        <f>'(C2) Burimet viti kaluar'!C44</f>
        <v>A.3.5.2</v>
      </c>
      <c r="B47" s="872" t="str">
        <f>'(G1) Fjalori'!A255</f>
        <v>Tarifa për dhënien e liçensave, lejeve e autorizimeve</v>
      </c>
      <c r="C47" s="873"/>
      <c r="D47" s="235">
        <f>'(C2) Burimet viti kaluar'!D44</f>
        <v>0</v>
      </c>
      <c r="E47" s="235">
        <f>'(C2) Burimet viti kaluar'!E44</f>
        <v>0</v>
      </c>
      <c r="F47" s="235">
        <f>'(C2) Burimet viti kaluar'!F44</f>
        <v>0</v>
      </c>
      <c r="G47" s="905"/>
      <c r="H47" s="906"/>
      <c r="I47" s="32"/>
      <c r="J47" s="32"/>
      <c r="K47" s="32"/>
      <c r="L47" s="32"/>
      <c r="M47" s="32"/>
      <c r="N47" s="273"/>
      <c r="O47" s="36">
        <f t="shared" si="21"/>
        <v>0</v>
      </c>
      <c r="P47" s="905"/>
      <c r="Q47" s="906"/>
      <c r="R47" s="32"/>
      <c r="S47" s="32"/>
      <c r="T47" s="32"/>
      <c r="U47" s="32"/>
      <c r="V47" s="32"/>
      <c r="W47" s="273"/>
      <c r="X47" s="36">
        <f t="shared" si="22"/>
        <v>0</v>
      </c>
      <c r="Y47" s="905"/>
      <c r="Z47" s="906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72" t="str">
        <f>'(G1) Fjalori'!A256</f>
        <v>Tarifa të kontrollit të zhvillimit të territorit</v>
      </c>
      <c r="C48" s="873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905"/>
      <c r="H48" s="906"/>
      <c r="I48" s="32"/>
      <c r="J48" s="32"/>
      <c r="K48" s="32"/>
      <c r="L48" s="32"/>
      <c r="M48" s="32"/>
      <c r="N48" s="273"/>
      <c r="O48" s="36">
        <f t="shared" si="21"/>
        <v>0</v>
      </c>
      <c r="P48" s="905"/>
      <c r="Q48" s="906"/>
      <c r="R48" s="32"/>
      <c r="S48" s="32"/>
      <c r="T48" s="32"/>
      <c r="U48" s="32"/>
      <c r="V48" s="32"/>
      <c r="W48" s="273"/>
      <c r="X48" s="36">
        <f t="shared" si="22"/>
        <v>0</v>
      </c>
      <c r="Y48" s="905"/>
      <c r="Z48" s="906"/>
      <c r="AA48" s="32"/>
      <c r="AB48" s="32"/>
      <c r="AC48" s="32"/>
      <c r="AD48" s="32"/>
      <c r="AE48" s="32"/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72" t="str">
        <f>'(G1) Fjalori'!A257</f>
        <v>Tarifa për vulosje veterinarie të bagëtive të therura</v>
      </c>
      <c r="C49" s="873"/>
      <c r="D49" s="235">
        <f>'(C2) Burimet viti kaluar'!D46</f>
        <v>109</v>
      </c>
      <c r="E49" s="235">
        <f>'(C2) Burimet viti kaluar'!E46</f>
        <v>243</v>
      </c>
      <c r="F49" s="235">
        <f>'(C2) Burimet viti kaluar'!F46</f>
        <v>200</v>
      </c>
      <c r="G49" s="905"/>
      <c r="H49" s="906"/>
      <c r="I49" s="32"/>
      <c r="J49" s="32"/>
      <c r="K49" s="32"/>
      <c r="L49" s="32"/>
      <c r="M49" s="32"/>
      <c r="N49" s="273"/>
      <c r="O49" s="36">
        <f t="shared" si="21"/>
        <v>200</v>
      </c>
      <c r="P49" s="905"/>
      <c r="Q49" s="906"/>
      <c r="R49" s="32"/>
      <c r="S49" s="32"/>
      <c r="T49" s="32"/>
      <c r="U49" s="32"/>
      <c r="V49" s="32"/>
      <c r="W49" s="273"/>
      <c r="X49" s="36">
        <f t="shared" si="22"/>
        <v>200</v>
      </c>
      <c r="Y49" s="905"/>
      <c r="Z49" s="906"/>
      <c r="AA49" s="32"/>
      <c r="AB49" s="32"/>
      <c r="AC49" s="32"/>
      <c r="AD49" s="32"/>
      <c r="AE49" s="32"/>
      <c r="AF49" s="273"/>
      <c r="AG49" s="36">
        <f t="shared" si="23"/>
        <v>200</v>
      </c>
    </row>
    <row r="50" spans="1:33" s="221" customFormat="1" x14ac:dyDescent="0.2">
      <c r="A50" s="248" t="str">
        <f>'(C2) Burimet viti kaluar'!C47</f>
        <v>A.3.5.5</v>
      </c>
      <c r="B50" s="872" t="str">
        <f>'(G1) Fjalori'!A258</f>
        <v>Tarifa e liçensimit të veprimtarive të transportit</v>
      </c>
      <c r="C50" s="873"/>
      <c r="D50" s="235">
        <f>'(C2) Burimet viti kaluar'!D47</f>
        <v>1261</v>
      </c>
      <c r="E50" s="235">
        <f>'(C2) Burimet viti kaluar'!E47</f>
        <v>1533</v>
      </c>
      <c r="F50" s="235">
        <f>'(C2) Burimet viti kaluar'!F47</f>
        <v>1600</v>
      </c>
      <c r="G50" s="905"/>
      <c r="H50" s="906"/>
      <c r="I50" s="32"/>
      <c r="J50" s="32">
        <v>0.03</v>
      </c>
      <c r="K50" s="32"/>
      <c r="L50" s="32">
        <v>0.02</v>
      </c>
      <c r="M50" s="32"/>
      <c r="N50" s="273"/>
      <c r="O50" s="36">
        <f t="shared" si="21"/>
        <v>1680</v>
      </c>
      <c r="P50" s="905"/>
      <c r="Q50" s="906"/>
      <c r="R50" s="32"/>
      <c r="S50" s="32"/>
      <c r="T50" s="32"/>
      <c r="U50" s="32"/>
      <c r="V50" s="32"/>
      <c r="W50" s="273"/>
      <c r="X50" s="36">
        <f t="shared" si="22"/>
        <v>1680</v>
      </c>
      <c r="Y50" s="905"/>
      <c r="Z50" s="906"/>
      <c r="AA50" s="32"/>
      <c r="AB50" s="32"/>
      <c r="AC50" s="32"/>
      <c r="AD50" s="32"/>
      <c r="AE50" s="32"/>
      <c r="AF50" s="273"/>
      <c r="AG50" s="36">
        <f t="shared" si="23"/>
        <v>1680</v>
      </c>
    </row>
    <row r="51" spans="1:33" s="221" customFormat="1" x14ac:dyDescent="0.2">
      <c r="A51" s="248" t="str">
        <f>'(C2) Burimet viti kaluar'!C48</f>
        <v>A.3.5.6</v>
      </c>
      <c r="B51" s="872" t="str">
        <f>'(G1) Fjalori'!A259</f>
        <v>Tarifa e parkimit për mjetet e liçensuara dhe vendparkime publike</v>
      </c>
      <c r="C51" s="873"/>
      <c r="D51" s="235">
        <f>'(C2) Burimet viti kaluar'!D48</f>
        <v>782</v>
      </c>
      <c r="E51" s="235">
        <f>'(C2) Burimet viti kaluar'!E48</f>
        <v>956</v>
      </c>
      <c r="F51" s="235">
        <f>'(C2) Burimet viti kaluar'!F48</f>
        <v>1000</v>
      </c>
      <c r="G51" s="905"/>
      <c r="H51" s="906"/>
      <c r="I51" s="32"/>
      <c r="J51" s="32"/>
      <c r="K51" s="32"/>
      <c r="L51" s="32"/>
      <c r="M51" s="32"/>
      <c r="N51" s="273"/>
      <c r="O51" s="36">
        <f t="shared" si="21"/>
        <v>1000</v>
      </c>
      <c r="P51" s="905"/>
      <c r="Q51" s="906"/>
      <c r="R51" s="32"/>
      <c r="S51" s="32"/>
      <c r="T51" s="32"/>
      <c r="U51" s="32"/>
      <c r="V51" s="32"/>
      <c r="W51" s="273"/>
      <c r="X51" s="36">
        <f t="shared" si="22"/>
        <v>1000</v>
      </c>
      <c r="Y51" s="905"/>
      <c r="Z51" s="906"/>
      <c r="AA51" s="32"/>
      <c r="AB51" s="32"/>
      <c r="AC51" s="32"/>
      <c r="AD51" s="32"/>
      <c r="AE51" s="32"/>
      <c r="AF51" s="273"/>
      <c r="AG51" s="36">
        <f t="shared" si="23"/>
        <v>1000</v>
      </c>
    </row>
    <row r="52" spans="1:33" s="221" customFormat="1" x14ac:dyDescent="0.2">
      <c r="A52" s="248" t="str">
        <f>'(C2) Burimet viti kaluar'!C49</f>
        <v>A.3.5.7</v>
      </c>
      <c r="B52" s="872" t="str">
        <f>'(G1) Fjalori'!A260</f>
        <v>Tarifa për dhënie liçense për tregtimin e naftës bruto dhe nënprodukteve të saj</v>
      </c>
      <c r="C52" s="873"/>
      <c r="D52" s="235">
        <f>'(C2) Burimet viti kaluar'!D49</f>
        <v>0</v>
      </c>
      <c r="E52" s="235">
        <f>'(C2) Burimet viti kaluar'!E49</f>
        <v>3000</v>
      </c>
      <c r="F52" s="235">
        <f>'(C2) Burimet viti kaluar'!F49</f>
        <v>3000</v>
      </c>
      <c r="G52" s="905"/>
      <c r="H52" s="906"/>
      <c r="I52" s="32"/>
      <c r="J52" s="32"/>
      <c r="K52" s="32"/>
      <c r="L52" s="32">
        <v>0.04</v>
      </c>
      <c r="M52" s="32"/>
      <c r="N52" s="273"/>
      <c r="O52" s="36">
        <f t="shared" si="21"/>
        <v>3120</v>
      </c>
      <c r="P52" s="905"/>
      <c r="Q52" s="906"/>
      <c r="R52" s="32"/>
      <c r="S52" s="32"/>
      <c r="T52" s="32"/>
      <c r="U52" s="32"/>
      <c r="V52" s="32"/>
      <c r="W52" s="273"/>
      <c r="X52" s="36">
        <f t="shared" si="22"/>
        <v>3120</v>
      </c>
      <c r="Y52" s="905"/>
      <c r="Z52" s="906"/>
      <c r="AA52" s="32"/>
      <c r="AB52" s="32"/>
      <c r="AC52" s="32"/>
      <c r="AD52" s="32"/>
      <c r="AE52" s="32"/>
      <c r="AF52" s="273"/>
      <c r="AG52" s="36">
        <f t="shared" si="23"/>
        <v>3120</v>
      </c>
    </row>
    <row r="53" spans="1:33" s="221" customFormat="1" x14ac:dyDescent="0.2">
      <c r="A53" s="248" t="str">
        <f>'(C2) Burimet viti kaluar'!C50</f>
        <v>A.3.5.8</v>
      </c>
      <c r="B53" s="872" t="str">
        <f>'(G1) Fjalori'!A261</f>
        <v>Tarifa për pyejt dhe kullotat</v>
      </c>
      <c r="C53" s="873"/>
      <c r="D53" s="235">
        <f>'(C2) Burimet viti kaluar'!D50</f>
        <v>0</v>
      </c>
      <c r="E53" s="235">
        <f>'(C2) Burimet viti kaluar'!E50</f>
        <v>0</v>
      </c>
      <c r="F53" s="235">
        <f>'(C2) Burimet viti kaluar'!F50</f>
        <v>500</v>
      </c>
      <c r="G53" s="905"/>
      <c r="H53" s="906"/>
      <c r="I53" s="32"/>
      <c r="J53" s="32">
        <v>7.0000000000000007E-2</v>
      </c>
      <c r="K53" s="32">
        <v>0.01</v>
      </c>
      <c r="L53" s="32"/>
      <c r="M53" s="32"/>
      <c r="N53" s="273"/>
      <c r="O53" s="36">
        <f t="shared" si="21"/>
        <v>540</v>
      </c>
      <c r="P53" s="905"/>
      <c r="Q53" s="906"/>
      <c r="R53" s="32"/>
      <c r="S53" s="32"/>
      <c r="T53" s="32"/>
      <c r="U53" s="32"/>
      <c r="V53" s="32"/>
      <c r="W53" s="273"/>
      <c r="X53" s="36">
        <f t="shared" si="22"/>
        <v>540</v>
      </c>
      <c r="Y53" s="905"/>
      <c r="Z53" s="906"/>
      <c r="AA53" s="32"/>
      <c r="AB53" s="32"/>
      <c r="AC53" s="32"/>
      <c r="AD53" s="32"/>
      <c r="AE53" s="32"/>
      <c r="AF53" s="273"/>
      <c r="AG53" s="36">
        <f t="shared" si="23"/>
        <v>540</v>
      </c>
    </row>
    <row r="54" spans="1:33" s="221" customFormat="1" x14ac:dyDescent="0.2">
      <c r="A54" s="248" t="str">
        <f>'(C2) Burimet viti kaluar'!C51</f>
        <v>A.3.5.9</v>
      </c>
      <c r="B54" s="872" t="str">
        <f>'(G1) Fjalori'!A262</f>
        <v>Tarifa për shërbimet shtesë nga zjarrëfiksja</v>
      </c>
      <c r="C54" s="873"/>
      <c r="D54" s="235">
        <f>'(C2) Burimet viti kaluar'!D51</f>
        <v>437</v>
      </c>
      <c r="E54" s="235">
        <f>'(C2) Burimet viti kaluar'!E51</f>
        <v>118</v>
      </c>
      <c r="F54" s="235">
        <f>'(C2) Burimet viti kaluar'!F51</f>
        <v>174</v>
      </c>
      <c r="G54" s="905"/>
      <c r="H54" s="906"/>
      <c r="I54" s="32"/>
      <c r="J54" s="32"/>
      <c r="K54" s="32"/>
      <c r="L54" s="32"/>
      <c r="M54" s="32"/>
      <c r="N54" s="273"/>
      <c r="O54" s="36">
        <f t="shared" si="21"/>
        <v>174</v>
      </c>
      <c r="P54" s="905"/>
      <c r="Q54" s="906"/>
      <c r="R54" s="32"/>
      <c r="S54" s="32"/>
      <c r="T54" s="32"/>
      <c r="U54" s="32"/>
      <c r="V54" s="32"/>
      <c r="W54" s="273"/>
      <c r="X54" s="36">
        <f t="shared" si="22"/>
        <v>174</v>
      </c>
      <c r="Y54" s="905"/>
      <c r="Z54" s="906"/>
      <c r="AA54" s="32"/>
      <c r="AB54" s="32"/>
      <c r="AC54" s="32"/>
      <c r="AD54" s="32"/>
      <c r="AE54" s="32"/>
      <c r="AF54" s="273"/>
      <c r="AG54" s="36">
        <f t="shared" si="23"/>
        <v>174</v>
      </c>
    </row>
    <row r="55" spans="1:33" s="221" customFormat="1" x14ac:dyDescent="0.2">
      <c r="A55" s="248" t="str">
        <f>'(C2) Burimet viti kaluar'!C52</f>
        <v>A.3.5.10</v>
      </c>
      <c r="B55" s="872" t="str">
        <f>'(G1) Fjalori'!A263</f>
        <v>Tarifa për zënien dhe përdorimin e hapsirës publike dhe fasadave</v>
      </c>
      <c r="C55" s="873"/>
      <c r="D55" s="235">
        <f>'(C2) Burimet viti kaluar'!D52</f>
        <v>525</v>
      </c>
      <c r="E55" s="235">
        <f>'(C2) Burimet viti kaluar'!E52</f>
        <v>125</v>
      </c>
      <c r="F55" s="235">
        <f>'(C2) Burimet viti kaluar'!F52</f>
        <v>400</v>
      </c>
      <c r="G55" s="905"/>
      <c r="H55" s="906"/>
      <c r="I55" s="32"/>
      <c r="J55" s="32"/>
      <c r="K55" s="32"/>
      <c r="L55" s="32">
        <v>0.03</v>
      </c>
      <c r="M55" s="32"/>
      <c r="N55" s="273"/>
      <c r="O55" s="36">
        <f t="shared" si="21"/>
        <v>412</v>
      </c>
      <c r="P55" s="905"/>
      <c r="Q55" s="906"/>
      <c r="R55" s="32"/>
      <c r="S55" s="32"/>
      <c r="T55" s="32"/>
      <c r="U55" s="32"/>
      <c r="V55" s="32"/>
      <c r="W55" s="273"/>
      <c r="X55" s="36">
        <f t="shared" si="22"/>
        <v>412</v>
      </c>
      <c r="Y55" s="905"/>
      <c r="Z55" s="906"/>
      <c r="AA55" s="32"/>
      <c r="AB55" s="32"/>
      <c r="AC55" s="32"/>
      <c r="AD55" s="32"/>
      <c r="AE55" s="32"/>
      <c r="AF55" s="273"/>
      <c r="AG55" s="36">
        <f t="shared" si="23"/>
        <v>412</v>
      </c>
    </row>
    <row r="56" spans="1:33" s="221" customFormat="1" x14ac:dyDescent="0.2">
      <c r="A56" s="248" t="str">
        <f>'(C2) Burimet viti kaluar'!C53</f>
        <v>A.3.5.11</v>
      </c>
      <c r="B56" s="872" t="str">
        <f>'(G1) Fjalori'!A264</f>
        <v xml:space="preserve">Tarifa për trajtimin e mbetjeve inerte në landfille </v>
      </c>
      <c r="C56" s="873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905"/>
      <c r="H56" s="906"/>
      <c r="I56" s="32"/>
      <c r="J56" s="32"/>
      <c r="K56" s="32"/>
      <c r="L56" s="32"/>
      <c r="M56" s="32"/>
      <c r="N56" s="273"/>
      <c r="O56" s="36">
        <f t="shared" si="21"/>
        <v>0</v>
      </c>
      <c r="P56" s="905"/>
      <c r="Q56" s="906"/>
      <c r="R56" s="32"/>
      <c r="S56" s="32"/>
      <c r="T56" s="32"/>
      <c r="U56" s="32"/>
      <c r="V56" s="32"/>
      <c r="W56" s="273"/>
      <c r="X56" s="36">
        <f t="shared" si="22"/>
        <v>0</v>
      </c>
      <c r="Y56" s="905"/>
      <c r="Z56" s="906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72" t="str">
        <f>'(G1) Fjalori'!A265</f>
        <v>Tarifa për linjat ajrore dhe nëntoksore (Telefoni, Energji, TV Kabllor, Internet)</v>
      </c>
      <c r="C57" s="873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905"/>
      <c r="H57" s="906"/>
      <c r="I57" s="32"/>
      <c r="J57" s="32"/>
      <c r="K57" s="32"/>
      <c r="L57" s="32"/>
      <c r="M57" s="32"/>
      <c r="N57" s="273"/>
      <c r="O57" s="36">
        <f t="shared" si="21"/>
        <v>0</v>
      </c>
      <c r="P57" s="905"/>
      <c r="Q57" s="906"/>
      <c r="R57" s="32"/>
      <c r="S57" s="32"/>
      <c r="T57" s="32"/>
      <c r="U57" s="32"/>
      <c r="V57" s="32"/>
      <c r="W57" s="273"/>
      <c r="X57" s="36">
        <f t="shared" si="22"/>
        <v>0</v>
      </c>
      <c r="Y57" s="905"/>
      <c r="Z57" s="906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72" t="str">
        <f>'(G1) Fjalori'!A266</f>
        <v>Tarifa nga dokumentat për tender, ankand etj</v>
      </c>
      <c r="C58" s="873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905"/>
      <c r="H58" s="906"/>
      <c r="I58" s="32"/>
      <c r="J58" s="32"/>
      <c r="K58" s="32"/>
      <c r="L58" s="32"/>
      <c r="M58" s="32"/>
      <c r="N58" s="273"/>
      <c r="O58" s="36">
        <f t="shared" si="21"/>
        <v>0</v>
      </c>
      <c r="P58" s="905"/>
      <c r="Q58" s="906"/>
      <c r="R58" s="32"/>
      <c r="S58" s="32"/>
      <c r="T58" s="32"/>
      <c r="U58" s="32"/>
      <c r="V58" s="32"/>
      <c r="W58" s="273"/>
      <c r="X58" s="36">
        <f t="shared" si="22"/>
        <v>0</v>
      </c>
      <c r="Y58" s="905"/>
      <c r="Z58" s="906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6822</v>
      </c>
      <c r="E59" s="248">
        <f>'(C2) Burimet viti kaluar'!E56</f>
        <v>5035</v>
      </c>
      <c r="F59" s="248">
        <f>'(C2) Burimet viti kaluar'!F56</f>
        <v>7000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7260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7260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7260</v>
      </c>
    </row>
    <row r="60" spans="1:33" s="221" customFormat="1" x14ac:dyDescent="0.2">
      <c r="A60" s="248" t="str">
        <f>'(C2) Burimet viti kaluar'!C57</f>
        <v>A.3.6.1</v>
      </c>
      <c r="B60" s="872" t="str">
        <f>'(G1) Fjalori'!A268</f>
        <v>Bibloteka</v>
      </c>
      <c r="C60" s="873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905"/>
      <c r="H60" s="906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905"/>
      <c r="Q60" s="906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905"/>
      <c r="Z60" s="906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72" t="str">
        <f>'(G1) Fjalori'!A269</f>
        <v>Muzeumet</v>
      </c>
      <c r="C61" s="873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905"/>
      <c r="H61" s="906"/>
      <c r="I61" s="32"/>
      <c r="J61" s="32"/>
      <c r="K61" s="32"/>
      <c r="L61" s="32"/>
      <c r="M61" s="32"/>
      <c r="N61" s="273"/>
      <c r="O61" s="36">
        <f t="shared" si="24"/>
        <v>0</v>
      </c>
      <c r="P61" s="905"/>
      <c r="Q61" s="906"/>
      <c r="R61" s="32"/>
      <c r="S61" s="32"/>
      <c r="T61" s="32"/>
      <c r="U61" s="32"/>
      <c r="V61" s="32"/>
      <c r="W61" s="273"/>
      <c r="X61" s="36">
        <f t="shared" si="25"/>
        <v>0</v>
      </c>
      <c r="Y61" s="905"/>
      <c r="Z61" s="906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72" t="str">
        <f>'(G1) Fjalori'!A270</f>
        <v>Teatri</v>
      </c>
      <c r="C62" s="873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905"/>
      <c r="H62" s="906"/>
      <c r="I62" s="32"/>
      <c r="J62" s="32"/>
      <c r="K62" s="32"/>
      <c r="L62" s="32"/>
      <c r="M62" s="32"/>
      <c r="N62" s="273"/>
      <c r="O62" s="36">
        <f t="shared" si="24"/>
        <v>0</v>
      </c>
      <c r="P62" s="905"/>
      <c r="Q62" s="906"/>
      <c r="R62" s="32"/>
      <c r="S62" s="32"/>
      <c r="T62" s="32"/>
      <c r="U62" s="32"/>
      <c r="V62" s="32"/>
      <c r="W62" s="273"/>
      <c r="X62" s="36">
        <f t="shared" si="25"/>
        <v>0</v>
      </c>
      <c r="Y62" s="905"/>
      <c r="Z62" s="906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72" t="str">
        <f>'(G1) Fjalori'!A271</f>
        <v>Qendra kulturore e fëmijëve</v>
      </c>
      <c r="C63" s="873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905"/>
      <c r="H63" s="906"/>
      <c r="I63" s="32"/>
      <c r="J63" s="32"/>
      <c r="K63" s="32"/>
      <c r="L63" s="32"/>
      <c r="M63" s="32"/>
      <c r="N63" s="273"/>
      <c r="O63" s="36">
        <f t="shared" si="24"/>
        <v>0</v>
      </c>
      <c r="P63" s="905"/>
      <c r="Q63" s="906"/>
      <c r="R63" s="32"/>
      <c r="S63" s="32"/>
      <c r="T63" s="32"/>
      <c r="U63" s="32"/>
      <c r="V63" s="32"/>
      <c r="W63" s="273"/>
      <c r="X63" s="36">
        <f t="shared" si="25"/>
        <v>0</v>
      </c>
      <c r="Y63" s="905"/>
      <c r="Z63" s="906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72" t="str">
        <f>'(G1) Fjalori'!A272</f>
        <v>Pallati i sportit</v>
      </c>
      <c r="C64" s="873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905"/>
      <c r="H64" s="906"/>
      <c r="I64" s="32"/>
      <c r="J64" s="32"/>
      <c r="K64" s="32"/>
      <c r="L64" s="32"/>
      <c r="M64" s="32"/>
      <c r="N64" s="273"/>
      <c r="O64" s="36">
        <f t="shared" si="24"/>
        <v>0</v>
      </c>
      <c r="P64" s="905"/>
      <c r="Q64" s="906"/>
      <c r="R64" s="32"/>
      <c r="S64" s="32"/>
      <c r="T64" s="32"/>
      <c r="U64" s="32"/>
      <c r="V64" s="32"/>
      <c r="W64" s="273"/>
      <c r="X64" s="36">
        <f t="shared" si="25"/>
        <v>0</v>
      </c>
      <c r="Y64" s="905"/>
      <c r="Z64" s="906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72" t="str">
        <f>'(G1) Fjalori'!A273</f>
        <v>Qendra Komunitare</v>
      </c>
      <c r="C65" s="873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905"/>
      <c r="H65" s="906"/>
      <c r="I65" s="32"/>
      <c r="J65" s="32"/>
      <c r="K65" s="32"/>
      <c r="L65" s="32"/>
      <c r="M65" s="32"/>
      <c r="N65" s="273"/>
      <c r="O65" s="36">
        <f t="shared" si="24"/>
        <v>0</v>
      </c>
      <c r="P65" s="905"/>
      <c r="Q65" s="906"/>
      <c r="R65" s="32"/>
      <c r="S65" s="32"/>
      <c r="T65" s="32"/>
      <c r="U65" s="32"/>
      <c r="V65" s="32"/>
      <c r="W65" s="273"/>
      <c r="X65" s="36">
        <f t="shared" si="25"/>
        <v>0</v>
      </c>
      <c r="Y65" s="905"/>
      <c r="Z65" s="906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72" t="str">
        <f>'(G1) Fjalori'!A274</f>
        <v>Mensa (Konviktet)</v>
      </c>
      <c r="C66" s="873"/>
      <c r="D66" s="235">
        <f>'(C2) Burimet viti kaluar'!D63</f>
        <v>132</v>
      </c>
      <c r="E66" s="235">
        <f>'(C2) Burimet viti kaluar'!E63</f>
        <v>0</v>
      </c>
      <c r="F66" s="235">
        <f>'(C2) Burimet viti kaluar'!F63</f>
        <v>0</v>
      </c>
      <c r="G66" s="905"/>
      <c r="H66" s="906"/>
      <c r="I66" s="32"/>
      <c r="J66" s="32"/>
      <c r="K66" s="32"/>
      <c r="L66" s="32"/>
      <c r="M66" s="32"/>
      <c r="N66" s="273"/>
      <c r="O66" s="36">
        <f t="shared" si="24"/>
        <v>0</v>
      </c>
      <c r="P66" s="905"/>
      <c r="Q66" s="906"/>
      <c r="R66" s="32"/>
      <c r="S66" s="32"/>
      <c r="T66" s="32"/>
      <c r="U66" s="32"/>
      <c r="V66" s="32"/>
      <c r="W66" s="273"/>
      <c r="X66" s="36">
        <f t="shared" si="25"/>
        <v>0</v>
      </c>
      <c r="Y66" s="905"/>
      <c r="Z66" s="906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72" t="str">
        <f>'(G1) Fjalori'!A275</f>
        <v>Kopshtet</v>
      </c>
      <c r="C67" s="873"/>
      <c r="D67" s="235">
        <f>'(C2) Burimet viti kaluar'!D64</f>
        <v>4945</v>
      </c>
      <c r="E67" s="235">
        <f>'(C2) Burimet viti kaluar'!E64</f>
        <v>3546</v>
      </c>
      <c r="F67" s="235">
        <f>'(C2) Burimet viti kaluar'!F64</f>
        <v>5000</v>
      </c>
      <c r="G67" s="905"/>
      <c r="H67" s="906"/>
      <c r="I67" s="32"/>
      <c r="J67" s="32"/>
      <c r="K67" s="32">
        <v>0.02</v>
      </c>
      <c r="L67" s="32"/>
      <c r="M67" s="32"/>
      <c r="N67" s="273"/>
      <c r="O67" s="36">
        <f t="shared" si="24"/>
        <v>5100</v>
      </c>
      <c r="P67" s="905"/>
      <c r="Q67" s="906"/>
      <c r="R67" s="32"/>
      <c r="S67" s="32"/>
      <c r="T67" s="32"/>
      <c r="U67" s="32"/>
      <c r="V67" s="32"/>
      <c r="W67" s="273"/>
      <c r="X67" s="36">
        <f t="shared" si="25"/>
        <v>5100</v>
      </c>
      <c r="Y67" s="905"/>
      <c r="Z67" s="906"/>
      <c r="AA67" s="32"/>
      <c r="AB67" s="32"/>
      <c r="AC67" s="32"/>
      <c r="AD67" s="32"/>
      <c r="AE67" s="32"/>
      <c r="AF67" s="273"/>
      <c r="AG67" s="36">
        <f t="shared" si="26"/>
        <v>5100</v>
      </c>
    </row>
    <row r="68" spans="1:33" s="221" customFormat="1" x14ac:dyDescent="0.2">
      <c r="A68" s="248" t="str">
        <f>'(C2) Burimet viti kaluar'!C65</f>
        <v>A.3.6.9</v>
      </c>
      <c r="B68" s="872" t="str">
        <f>'(G1) Fjalori'!A276</f>
        <v>Çerdhet</v>
      </c>
      <c r="C68" s="873"/>
      <c r="D68" s="235">
        <f>'(C2) Burimet viti kaluar'!D65</f>
        <v>1745</v>
      </c>
      <c r="E68" s="235">
        <f>'(C2) Burimet viti kaluar'!E65</f>
        <v>1489</v>
      </c>
      <c r="F68" s="235">
        <f>'(C2) Burimet viti kaluar'!F65</f>
        <v>2000</v>
      </c>
      <c r="G68" s="905"/>
      <c r="H68" s="906"/>
      <c r="I68" s="32"/>
      <c r="J68" s="32">
        <v>0.05</v>
      </c>
      <c r="K68" s="32"/>
      <c r="L68" s="32">
        <v>0.03</v>
      </c>
      <c r="M68" s="32"/>
      <c r="N68" s="273"/>
      <c r="O68" s="36">
        <f t="shared" si="24"/>
        <v>2160</v>
      </c>
      <c r="P68" s="905"/>
      <c r="Q68" s="906"/>
      <c r="R68" s="32"/>
      <c r="S68" s="32"/>
      <c r="T68" s="32"/>
      <c r="U68" s="32"/>
      <c r="V68" s="32"/>
      <c r="W68" s="273"/>
      <c r="X68" s="36">
        <f t="shared" si="25"/>
        <v>2160</v>
      </c>
      <c r="Y68" s="905"/>
      <c r="Z68" s="906"/>
      <c r="AA68" s="32"/>
      <c r="AB68" s="32"/>
      <c r="AC68" s="32"/>
      <c r="AD68" s="32"/>
      <c r="AE68" s="32"/>
      <c r="AF68" s="273"/>
      <c r="AG68" s="36">
        <f t="shared" si="26"/>
        <v>2160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905"/>
      <c r="H69" s="906"/>
      <c r="I69" s="32"/>
      <c r="J69" s="32"/>
      <c r="K69" s="32"/>
      <c r="L69" s="32"/>
      <c r="M69" s="32"/>
      <c r="N69" s="273"/>
      <c r="O69" s="36">
        <f t="shared" si="24"/>
        <v>0</v>
      </c>
      <c r="P69" s="905"/>
      <c r="Q69" s="906"/>
      <c r="R69" s="32"/>
      <c r="S69" s="32"/>
      <c r="T69" s="32"/>
      <c r="U69" s="32"/>
      <c r="V69" s="32"/>
      <c r="W69" s="273"/>
      <c r="X69" s="36">
        <f t="shared" si="25"/>
        <v>0</v>
      </c>
      <c r="Y69" s="905"/>
      <c r="Z69" s="906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905"/>
      <c r="H70" s="906"/>
      <c r="I70" s="32"/>
      <c r="J70" s="32"/>
      <c r="K70" s="32"/>
      <c r="L70" s="32"/>
      <c r="M70" s="32"/>
      <c r="N70" s="273"/>
      <c r="O70" s="36">
        <f t="shared" si="24"/>
        <v>0</v>
      </c>
      <c r="P70" s="905"/>
      <c r="Q70" s="906"/>
      <c r="R70" s="32"/>
      <c r="S70" s="32"/>
      <c r="T70" s="32"/>
      <c r="U70" s="32"/>
      <c r="V70" s="32"/>
      <c r="W70" s="273"/>
      <c r="X70" s="36">
        <f t="shared" si="25"/>
        <v>0</v>
      </c>
      <c r="Y70" s="905"/>
      <c r="Z70" s="906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905"/>
      <c r="H71" s="906"/>
      <c r="I71" s="32"/>
      <c r="J71" s="32"/>
      <c r="K71" s="32"/>
      <c r="L71" s="32"/>
      <c r="M71" s="32"/>
      <c r="N71" s="273"/>
      <c r="O71" s="36">
        <f t="shared" si="24"/>
        <v>0</v>
      </c>
      <c r="P71" s="905"/>
      <c r="Q71" s="906"/>
      <c r="R71" s="32"/>
      <c r="S71" s="32"/>
      <c r="T71" s="32"/>
      <c r="U71" s="32"/>
      <c r="V71" s="32"/>
      <c r="W71" s="273"/>
      <c r="X71" s="36">
        <f t="shared" si="25"/>
        <v>0</v>
      </c>
      <c r="Y71" s="905"/>
      <c r="Z71" s="906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29730</v>
      </c>
      <c r="E72" s="235">
        <f>'(C2) Burimet viti kaluar'!E69</f>
        <v>8978</v>
      </c>
      <c r="F72" s="235">
        <f>'(C2) Burimet viti kaluar'!F69</f>
        <v>41100</v>
      </c>
      <c r="G72" s="905"/>
      <c r="H72" s="906"/>
      <c r="I72" s="32"/>
      <c r="J72" s="32"/>
      <c r="K72" s="32">
        <v>0.02</v>
      </c>
      <c r="L72" s="32"/>
      <c r="M72" s="32"/>
      <c r="N72" s="273"/>
      <c r="O72" s="36">
        <f t="shared" si="24"/>
        <v>41922</v>
      </c>
      <c r="P72" s="905"/>
      <c r="Q72" s="906"/>
      <c r="R72" s="32"/>
      <c r="S72" s="32"/>
      <c r="T72" s="32"/>
      <c r="U72" s="32"/>
      <c r="V72" s="32"/>
      <c r="W72" s="273"/>
      <c r="X72" s="36">
        <f t="shared" si="25"/>
        <v>41922</v>
      </c>
      <c r="Y72" s="905"/>
      <c r="Z72" s="906"/>
      <c r="AA72" s="32"/>
      <c r="AB72" s="32"/>
      <c r="AC72" s="32"/>
      <c r="AD72" s="32"/>
      <c r="AE72" s="32"/>
      <c r="AF72" s="273"/>
      <c r="AG72" s="36">
        <f t="shared" si="26"/>
        <v>41922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2019</v>
      </c>
      <c r="E74" s="506">
        <f t="shared" ref="E74:F74" si="27">E29</f>
        <v>2020</v>
      </c>
      <c r="F74" s="506">
        <f t="shared" si="27"/>
        <v>2021</v>
      </c>
      <c r="G74" s="916">
        <f>G29</f>
        <v>2022</v>
      </c>
      <c r="H74" s="917"/>
      <c r="I74" s="917"/>
      <c r="J74" s="917"/>
      <c r="K74" s="917"/>
      <c r="L74" s="917"/>
      <c r="M74" s="917"/>
      <c r="N74" s="917"/>
      <c r="O74" s="918"/>
      <c r="P74" s="916">
        <f t="shared" ref="P74" si="28">P29</f>
        <v>2023</v>
      </c>
      <c r="Q74" s="917"/>
      <c r="R74" s="917"/>
      <c r="S74" s="917"/>
      <c r="T74" s="917"/>
      <c r="U74" s="917"/>
      <c r="V74" s="917"/>
      <c r="W74" s="917"/>
      <c r="X74" s="917"/>
      <c r="Y74" s="916">
        <f t="shared" ref="Y74" si="29">Y29</f>
        <v>2024</v>
      </c>
      <c r="Z74" s="917"/>
      <c r="AA74" s="917"/>
      <c r="AB74" s="917"/>
      <c r="AC74" s="917"/>
      <c r="AD74" s="917"/>
      <c r="AE74" s="917"/>
      <c r="AF74" s="917"/>
      <c r="AG74" s="918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908"/>
      <c r="H75" s="910"/>
      <c r="I75" s="910"/>
      <c r="J75" s="910"/>
      <c r="K75" s="910"/>
      <c r="L75" s="910"/>
      <c r="M75" s="910"/>
      <c r="N75" s="909"/>
      <c r="O75" s="511" t="str">
        <f>'[1](G1) Fjalori'!A351</f>
        <v>Vlerësimi i të Ardhurave</v>
      </c>
      <c r="P75" s="908"/>
      <c r="Q75" s="910"/>
      <c r="R75" s="910"/>
      <c r="S75" s="910"/>
      <c r="T75" s="910"/>
      <c r="U75" s="910"/>
      <c r="V75" s="910"/>
      <c r="W75" s="909"/>
      <c r="X75" s="511" t="str">
        <f>O75</f>
        <v>Vlerësimi i të Ardhurave</v>
      </c>
      <c r="Y75" s="908"/>
      <c r="Z75" s="910"/>
      <c r="AA75" s="910"/>
      <c r="AB75" s="910"/>
      <c r="AC75" s="910"/>
      <c r="AD75" s="910"/>
      <c r="AE75" s="910"/>
      <c r="AF75" s="909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76" t="str">
        <f>'(G1) Fjalori'!A281</f>
        <v>TË ARDHURAT E TJERA</v>
      </c>
      <c r="C76" s="877"/>
      <c r="D76" s="399">
        <f>'(C2) Burimet viti kaluar'!D70</f>
        <v>14277</v>
      </c>
      <c r="E76" s="399">
        <f>'(C2) Burimet viti kaluar'!E70</f>
        <v>30127</v>
      </c>
      <c r="F76" s="399">
        <f>'(C2) Burimet viti kaluar'!F70</f>
        <v>10200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0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0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6712</v>
      </c>
      <c r="E77" s="235">
        <f>'(C2) Burimet viti kaluar'!E71</f>
        <v>10176</v>
      </c>
      <c r="F77" s="235">
        <f>'(C2) Burimet viti kaluar'!F71</f>
        <v>10200</v>
      </c>
      <c r="G77" s="905"/>
      <c r="H77" s="907"/>
      <c r="I77" s="907"/>
      <c r="J77" s="907"/>
      <c r="K77" s="907"/>
      <c r="L77" s="907"/>
      <c r="M77" s="907"/>
      <c r="N77" s="906"/>
      <c r="O77" s="519"/>
      <c r="P77" s="905"/>
      <c r="Q77" s="907"/>
      <c r="R77" s="907"/>
      <c r="S77" s="907"/>
      <c r="T77" s="907"/>
      <c r="U77" s="907"/>
      <c r="V77" s="907"/>
      <c r="W77" s="906"/>
      <c r="X77" s="519"/>
      <c r="Y77" s="905"/>
      <c r="Z77" s="907"/>
      <c r="AA77" s="907"/>
      <c r="AB77" s="907"/>
      <c r="AC77" s="907"/>
      <c r="AD77" s="907"/>
      <c r="AE77" s="907"/>
      <c r="AF77" s="906"/>
      <c r="AG77" s="519"/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905"/>
      <c r="H78" s="907"/>
      <c r="I78" s="907"/>
      <c r="J78" s="907"/>
      <c r="K78" s="907"/>
      <c r="L78" s="907"/>
      <c r="M78" s="907"/>
      <c r="N78" s="906"/>
      <c r="O78" s="519"/>
      <c r="P78" s="905"/>
      <c r="Q78" s="907"/>
      <c r="R78" s="907"/>
      <c r="S78" s="907"/>
      <c r="T78" s="907"/>
      <c r="U78" s="907"/>
      <c r="V78" s="907"/>
      <c r="W78" s="906"/>
      <c r="X78" s="519"/>
      <c r="Y78" s="905"/>
      <c r="Z78" s="907"/>
      <c r="AA78" s="907"/>
      <c r="AB78" s="907"/>
      <c r="AC78" s="907"/>
      <c r="AD78" s="907"/>
      <c r="AE78" s="907"/>
      <c r="AF78" s="906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905"/>
      <c r="H79" s="907"/>
      <c r="I79" s="907"/>
      <c r="J79" s="907"/>
      <c r="K79" s="907"/>
      <c r="L79" s="907"/>
      <c r="M79" s="907"/>
      <c r="N79" s="906"/>
      <c r="O79" s="519"/>
      <c r="P79" s="905"/>
      <c r="Q79" s="907"/>
      <c r="R79" s="907"/>
      <c r="S79" s="907"/>
      <c r="T79" s="907"/>
      <c r="U79" s="907"/>
      <c r="V79" s="907"/>
      <c r="W79" s="906"/>
      <c r="X79" s="519"/>
      <c r="Y79" s="905"/>
      <c r="Z79" s="907"/>
      <c r="AA79" s="907"/>
      <c r="AB79" s="907"/>
      <c r="AC79" s="907"/>
      <c r="AD79" s="907"/>
      <c r="AE79" s="907"/>
      <c r="AF79" s="906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905"/>
      <c r="H80" s="907"/>
      <c r="I80" s="907"/>
      <c r="J80" s="907"/>
      <c r="K80" s="907"/>
      <c r="L80" s="907"/>
      <c r="M80" s="907"/>
      <c r="N80" s="906"/>
      <c r="O80" s="519"/>
      <c r="P80" s="905"/>
      <c r="Q80" s="907"/>
      <c r="R80" s="907"/>
      <c r="S80" s="907"/>
      <c r="T80" s="907"/>
      <c r="U80" s="907"/>
      <c r="V80" s="907"/>
      <c r="W80" s="906"/>
      <c r="X80" s="519"/>
      <c r="Y80" s="905"/>
      <c r="Z80" s="907"/>
      <c r="AA80" s="907"/>
      <c r="AB80" s="907"/>
      <c r="AC80" s="907"/>
      <c r="AD80" s="907"/>
      <c r="AE80" s="907"/>
      <c r="AF80" s="906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905"/>
      <c r="H81" s="907"/>
      <c r="I81" s="907"/>
      <c r="J81" s="907"/>
      <c r="K81" s="907"/>
      <c r="L81" s="907"/>
      <c r="M81" s="907"/>
      <c r="N81" s="906"/>
      <c r="O81" s="519"/>
      <c r="P81" s="905"/>
      <c r="Q81" s="907"/>
      <c r="R81" s="907"/>
      <c r="S81" s="907"/>
      <c r="T81" s="907"/>
      <c r="U81" s="907"/>
      <c r="V81" s="907"/>
      <c r="W81" s="906"/>
      <c r="X81" s="519"/>
      <c r="Y81" s="905"/>
      <c r="Z81" s="907"/>
      <c r="AA81" s="907"/>
      <c r="AB81" s="907"/>
      <c r="AC81" s="907"/>
      <c r="AD81" s="907"/>
      <c r="AE81" s="907"/>
      <c r="AF81" s="906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905"/>
      <c r="H82" s="907"/>
      <c r="I82" s="907"/>
      <c r="J82" s="907"/>
      <c r="K82" s="907"/>
      <c r="L82" s="907"/>
      <c r="M82" s="907"/>
      <c r="N82" s="906"/>
      <c r="O82" s="519"/>
      <c r="P82" s="905"/>
      <c r="Q82" s="907"/>
      <c r="R82" s="907"/>
      <c r="S82" s="907"/>
      <c r="T82" s="907"/>
      <c r="U82" s="907"/>
      <c r="V82" s="907"/>
      <c r="W82" s="906"/>
      <c r="X82" s="519"/>
      <c r="Y82" s="905"/>
      <c r="Z82" s="907"/>
      <c r="AA82" s="907"/>
      <c r="AB82" s="907"/>
      <c r="AC82" s="907"/>
      <c r="AD82" s="907"/>
      <c r="AE82" s="907"/>
      <c r="AF82" s="906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0</v>
      </c>
      <c r="E83" s="235">
        <f>'(C2) Burimet viti kaluar'!E77</f>
        <v>0</v>
      </c>
      <c r="F83" s="235">
        <f>'(C2) Burimet viti kaluar'!F77</f>
        <v>0</v>
      </c>
      <c r="G83" s="905"/>
      <c r="H83" s="907"/>
      <c r="I83" s="907"/>
      <c r="J83" s="907"/>
      <c r="K83" s="907"/>
      <c r="L83" s="907"/>
      <c r="M83" s="907"/>
      <c r="N83" s="906"/>
      <c r="O83" s="519"/>
      <c r="P83" s="905"/>
      <c r="Q83" s="907"/>
      <c r="R83" s="907"/>
      <c r="S83" s="907"/>
      <c r="T83" s="907"/>
      <c r="U83" s="907"/>
      <c r="V83" s="907"/>
      <c r="W83" s="906"/>
      <c r="X83" s="519"/>
      <c r="Y83" s="905"/>
      <c r="Z83" s="907"/>
      <c r="AA83" s="907"/>
      <c r="AB83" s="907"/>
      <c r="AC83" s="907"/>
      <c r="AD83" s="907"/>
      <c r="AE83" s="907"/>
      <c r="AF83" s="906"/>
      <c r="AG83" s="519"/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905"/>
      <c r="H84" s="907"/>
      <c r="I84" s="907"/>
      <c r="J84" s="907"/>
      <c r="K84" s="907"/>
      <c r="L84" s="907"/>
      <c r="M84" s="907"/>
      <c r="N84" s="906"/>
      <c r="O84" s="519"/>
      <c r="P84" s="905"/>
      <c r="Q84" s="907"/>
      <c r="R84" s="907"/>
      <c r="S84" s="907"/>
      <c r="T84" s="907"/>
      <c r="U84" s="907"/>
      <c r="V84" s="907"/>
      <c r="W84" s="906"/>
      <c r="X84" s="519"/>
      <c r="Y84" s="905"/>
      <c r="Z84" s="907"/>
      <c r="AA84" s="907"/>
      <c r="AB84" s="907"/>
      <c r="AC84" s="907"/>
      <c r="AD84" s="907"/>
      <c r="AE84" s="907"/>
      <c r="AF84" s="906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905"/>
      <c r="H85" s="907"/>
      <c r="I85" s="907"/>
      <c r="J85" s="907"/>
      <c r="K85" s="907"/>
      <c r="L85" s="907"/>
      <c r="M85" s="907"/>
      <c r="N85" s="906"/>
      <c r="O85" s="519"/>
      <c r="P85" s="905"/>
      <c r="Q85" s="907"/>
      <c r="R85" s="907"/>
      <c r="S85" s="907"/>
      <c r="T85" s="907"/>
      <c r="U85" s="907"/>
      <c r="V85" s="907"/>
      <c r="W85" s="906"/>
      <c r="X85" s="519"/>
      <c r="Y85" s="905"/>
      <c r="Z85" s="907"/>
      <c r="AA85" s="907"/>
      <c r="AB85" s="907"/>
      <c r="AC85" s="907"/>
      <c r="AD85" s="907"/>
      <c r="AE85" s="907"/>
      <c r="AF85" s="906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905"/>
      <c r="H86" s="907"/>
      <c r="I86" s="907"/>
      <c r="J86" s="907"/>
      <c r="K86" s="907"/>
      <c r="L86" s="907"/>
      <c r="M86" s="907"/>
      <c r="N86" s="906"/>
      <c r="O86" s="519"/>
      <c r="P86" s="905"/>
      <c r="Q86" s="907"/>
      <c r="R86" s="907"/>
      <c r="S86" s="907"/>
      <c r="T86" s="907"/>
      <c r="U86" s="907"/>
      <c r="V86" s="907"/>
      <c r="W86" s="906"/>
      <c r="X86" s="519"/>
      <c r="Y86" s="905"/>
      <c r="Z86" s="907"/>
      <c r="AA86" s="907"/>
      <c r="AB86" s="907"/>
      <c r="AC86" s="907"/>
      <c r="AD86" s="907"/>
      <c r="AE86" s="907"/>
      <c r="AF86" s="906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905"/>
      <c r="H87" s="907"/>
      <c r="I87" s="907"/>
      <c r="J87" s="907"/>
      <c r="K87" s="907"/>
      <c r="L87" s="907"/>
      <c r="M87" s="907"/>
      <c r="N87" s="906"/>
      <c r="O87" s="519"/>
      <c r="P87" s="905"/>
      <c r="Q87" s="907"/>
      <c r="R87" s="907"/>
      <c r="S87" s="907"/>
      <c r="T87" s="907"/>
      <c r="U87" s="907"/>
      <c r="V87" s="907"/>
      <c r="W87" s="906"/>
      <c r="X87" s="519"/>
      <c r="Y87" s="905"/>
      <c r="Z87" s="907"/>
      <c r="AA87" s="907"/>
      <c r="AB87" s="907"/>
      <c r="AC87" s="907"/>
      <c r="AD87" s="907"/>
      <c r="AE87" s="907"/>
      <c r="AF87" s="906"/>
      <c r="AG87" s="519"/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905"/>
      <c r="H88" s="907"/>
      <c r="I88" s="907"/>
      <c r="J88" s="907"/>
      <c r="K88" s="907"/>
      <c r="L88" s="907"/>
      <c r="M88" s="907"/>
      <c r="N88" s="906"/>
      <c r="O88" s="519"/>
      <c r="P88" s="905"/>
      <c r="Q88" s="907"/>
      <c r="R88" s="907"/>
      <c r="S88" s="907"/>
      <c r="T88" s="907"/>
      <c r="U88" s="907"/>
      <c r="V88" s="907"/>
      <c r="W88" s="906"/>
      <c r="X88" s="519"/>
      <c r="Y88" s="905"/>
      <c r="Z88" s="907"/>
      <c r="AA88" s="907"/>
      <c r="AB88" s="907"/>
      <c r="AC88" s="907"/>
      <c r="AD88" s="907"/>
      <c r="AE88" s="907"/>
      <c r="AF88" s="906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905"/>
      <c r="H89" s="907"/>
      <c r="I89" s="907"/>
      <c r="J89" s="907"/>
      <c r="K89" s="907"/>
      <c r="L89" s="907"/>
      <c r="M89" s="907"/>
      <c r="N89" s="906"/>
      <c r="O89" s="519"/>
      <c r="P89" s="905"/>
      <c r="Q89" s="907"/>
      <c r="R89" s="907"/>
      <c r="S89" s="907"/>
      <c r="T89" s="907"/>
      <c r="U89" s="907"/>
      <c r="V89" s="907"/>
      <c r="W89" s="906"/>
      <c r="X89" s="519"/>
      <c r="Y89" s="905"/>
      <c r="Z89" s="907"/>
      <c r="AA89" s="907"/>
      <c r="AB89" s="907"/>
      <c r="AC89" s="907"/>
      <c r="AD89" s="907"/>
      <c r="AE89" s="907"/>
      <c r="AF89" s="906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7565</v>
      </c>
      <c r="E90" s="235">
        <f>'(C2) Burimet viti kaluar'!E84</f>
        <v>19951</v>
      </c>
      <c r="F90" s="235">
        <f>'(C2) Burimet viti kaluar'!F84</f>
        <v>0</v>
      </c>
      <c r="G90" s="905"/>
      <c r="H90" s="907"/>
      <c r="I90" s="907"/>
      <c r="J90" s="907"/>
      <c r="K90" s="907"/>
      <c r="L90" s="907"/>
      <c r="M90" s="907"/>
      <c r="N90" s="906"/>
      <c r="O90" s="519"/>
      <c r="P90" s="905"/>
      <c r="Q90" s="907"/>
      <c r="R90" s="907"/>
      <c r="S90" s="907"/>
      <c r="T90" s="907"/>
      <c r="U90" s="907"/>
      <c r="V90" s="907"/>
      <c r="W90" s="906"/>
      <c r="X90" s="519"/>
      <c r="Y90" s="905"/>
      <c r="Z90" s="907"/>
      <c r="AA90" s="907"/>
      <c r="AB90" s="907"/>
      <c r="AC90" s="907"/>
      <c r="AD90" s="907"/>
      <c r="AE90" s="907"/>
      <c r="AF90" s="906"/>
      <c r="AG90" s="519"/>
    </row>
    <row r="91" spans="1:33" s="221" customFormat="1" ht="18.75" x14ac:dyDescent="0.25">
      <c r="A91" s="394" t="str">
        <f>'(C2) Burimet viti kaluar'!C85</f>
        <v>B</v>
      </c>
      <c r="B91" s="911" t="str">
        <f>'(G1) Fjalori'!A296</f>
        <v>TË ARDHURA NGA BUXHETI QENDROR</v>
      </c>
      <c r="C91" s="912"/>
      <c r="D91" s="398">
        <f>'(C2) Burimet viti kaluar'!D85</f>
        <v>1402088</v>
      </c>
      <c r="E91" s="398">
        <f>'(C2) Burimet viti kaluar'!E85</f>
        <v>1597746</v>
      </c>
      <c r="F91" s="398">
        <f>'(C2) Burimet viti kaluar'!F85</f>
        <v>1608678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1608978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1631564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1660569</v>
      </c>
    </row>
    <row r="92" spans="1:33" s="230" customFormat="1" ht="18.75" x14ac:dyDescent="0.2">
      <c r="A92" s="254" t="str">
        <f>'(C2) Burimet viti kaluar'!C86</f>
        <v>B.1</v>
      </c>
      <c r="B92" s="876" t="str">
        <f>'(G1) Fjalori'!A297</f>
        <v>Transferta e pakushtëzuar</v>
      </c>
      <c r="C92" s="877"/>
      <c r="D92" s="235">
        <f>'(C2) Burimet viti kaluar'!D86</f>
        <v>399876</v>
      </c>
      <c r="E92" s="235">
        <f>'(C2) Burimet viti kaluar'!E86</f>
        <v>409240</v>
      </c>
      <c r="F92" s="235">
        <f>'(C2) Burimet viti kaluar'!F86</f>
        <v>416544</v>
      </c>
      <c r="G92" s="905"/>
      <c r="H92" s="907"/>
      <c r="I92" s="907"/>
      <c r="J92" s="907"/>
      <c r="K92" s="907"/>
      <c r="L92" s="907"/>
      <c r="M92" s="907"/>
      <c r="N92" s="906"/>
      <c r="O92" s="519">
        <v>416544</v>
      </c>
      <c r="P92" s="905"/>
      <c r="Q92" s="907"/>
      <c r="R92" s="907"/>
      <c r="S92" s="907"/>
      <c r="T92" s="907"/>
      <c r="U92" s="907"/>
      <c r="V92" s="907"/>
      <c r="W92" s="906"/>
      <c r="X92" s="519">
        <v>438691</v>
      </c>
      <c r="Y92" s="905"/>
      <c r="Z92" s="907"/>
      <c r="AA92" s="907"/>
      <c r="AB92" s="907"/>
      <c r="AC92" s="907"/>
      <c r="AD92" s="907"/>
      <c r="AE92" s="907"/>
      <c r="AF92" s="906"/>
      <c r="AG92" s="519">
        <v>467696</v>
      </c>
    </row>
    <row r="93" spans="1:33" s="230" customFormat="1" ht="18.75" x14ac:dyDescent="0.25">
      <c r="A93" s="254" t="str">
        <f>'(C2) Burimet viti kaluar'!C87</f>
        <v>B.2</v>
      </c>
      <c r="B93" s="876" t="str">
        <f>'(G1) Fjalori'!A298</f>
        <v>Transferta e kushtëzuar</v>
      </c>
      <c r="C93" s="877"/>
      <c r="D93" s="399">
        <f>'(C2) Burimet viti kaluar'!D87</f>
        <v>775176</v>
      </c>
      <c r="E93" s="399">
        <f>'(C2) Burimet viti kaluar'!E87</f>
        <v>957261</v>
      </c>
      <c r="F93" s="399">
        <f>'(C2) Burimet viti kaluar'!F87</f>
        <v>957261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957561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958000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958000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775176</v>
      </c>
      <c r="E94" s="235">
        <f>'(C2) Burimet viti kaluar'!E88</f>
        <v>957261</v>
      </c>
      <c r="F94" s="235">
        <f>'(C2) Burimet viti kaluar'!F88</f>
        <v>957261</v>
      </c>
      <c r="G94" s="905"/>
      <c r="H94" s="907"/>
      <c r="I94" s="907"/>
      <c r="J94" s="907"/>
      <c r="K94" s="907"/>
      <c r="L94" s="907"/>
      <c r="M94" s="907"/>
      <c r="N94" s="906"/>
      <c r="O94" s="519">
        <v>957561</v>
      </c>
      <c r="P94" s="905"/>
      <c r="Q94" s="907"/>
      <c r="R94" s="907"/>
      <c r="S94" s="907"/>
      <c r="T94" s="907"/>
      <c r="U94" s="907"/>
      <c r="V94" s="907"/>
      <c r="W94" s="906"/>
      <c r="X94" s="519">
        <v>958000</v>
      </c>
      <c r="Y94" s="905"/>
      <c r="Z94" s="907"/>
      <c r="AA94" s="907"/>
      <c r="AB94" s="907"/>
      <c r="AC94" s="907"/>
      <c r="AD94" s="907"/>
      <c r="AE94" s="907"/>
      <c r="AF94" s="906"/>
      <c r="AG94" s="519">
        <v>958000</v>
      </c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0</v>
      </c>
      <c r="E95" s="235">
        <f>'(C2) Burimet viti kaluar'!E89</f>
        <v>0</v>
      </c>
      <c r="F95" s="235">
        <f>'(C2) Burimet viti kaluar'!F89</f>
        <v>0</v>
      </c>
      <c r="G95" s="905"/>
      <c r="H95" s="907"/>
      <c r="I95" s="907"/>
      <c r="J95" s="907"/>
      <c r="K95" s="907"/>
      <c r="L95" s="907"/>
      <c r="M95" s="907"/>
      <c r="N95" s="906"/>
      <c r="O95" s="519"/>
      <c r="P95" s="905"/>
      <c r="Q95" s="907"/>
      <c r="R95" s="907"/>
      <c r="S95" s="907"/>
      <c r="T95" s="907"/>
      <c r="U95" s="907"/>
      <c r="V95" s="907"/>
      <c r="W95" s="906"/>
      <c r="X95" s="519"/>
      <c r="Y95" s="905"/>
      <c r="Z95" s="907"/>
      <c r="AA95" s="907"/>
      <c r="AB95" s="907"/>
      <c r="AC95" s="907"/>
      <c r="AD95" s="907"/>
      <c r="AE95" s="907"/>
      <c r="AF95" s="906"/>
      <c r="AG95" s="519"/>
    </row>
    <row r="96" spans="1:33" s="230" customFormat="1" ht="18.75" x14ac:dyDescent="0.2">
      <c r="A96" s="254" t="str">
        <f>'(C2) Burimet viti kaluar'!C90</f>
        <v>B.3</v>
      </c>
      <c r="B96" s="876" t="str">
        <f>'(G1) Fjalori'!A301</f>
        <v>Trasferta specifike</v>
      </c>
      <c r="C96" s="877"/>
      <c r="D96" s="235">
        <f>'(C2) Burimet viti kaluar'!D90</f>
        <v>227036</v>
      </c>
      <c r="E96" s="235">
        <f>'(C2) Burimet viti kaluar'!E90</f>
        <v>231245</v>
      </c>
      <c r="F96" s="235">
        <f>'(C2) Burimet viti kaluar'!F90</f>
        <v>234873</v>
      </c>
      <c r="G96" s="451"/>
      <c r="H96" s="452"/>
      <c r="I96" s="452"/>
      <c r="J96" s="452"/>
      <c r="K96" s="452"/>
      <c r="L96" s="452"/>
      <c r="M96" s="452"/>
      <c r="N96" s="453"/>
      <c r="O96" s="519">
        <v>234873</v>
      </c>
      <c r="P96" s="451"/>
      <c r="Q96" s="452"/>
      <c r="R96" s="452"/>
      <c r="S96" s="452"/>
      <c r="T96" s="452"/>
      <c r="U96" s="452"/>
      <c r="V96" s="452"/>
      <c r="W96" s="453"/>
      <c r="X96" s="519">
        <v>234873</v>
      </c>
      <c r="Y96" s="451"/>
      <c r="Z96" s="452"/>
      <c r="AA96" s="452"/>
      <c r="AB96" s="452"/>
      <c r="AC96" s="452"/>
      <c r="AD96" s="452"/>
      <c r="AE96" s="452"/>
      <c r="AF96" s="453"/>
      <c r="AG96" s="519">
        <v>234873</v>
      </c>
    </row>
    <row r="97" spans="1:33" s="221" customFormat="1" ht="18.75" x14ac:dyDescent="0.25">
      <c r="A97" s="394" t="str">
        <f>'(C2) Burimet viti kaluar'!C91</f>
        <v>C</v>
      </c>
      <c r="B97" s="911" t="str">
        <f>'(G1) Fjalori'!A302</f>
        <v>HUAMARRJA</v>
      </c>
      <c r="C97" s="912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76" t="str">
        <f>'(G1) Fjalori'!A303</f>
        <v>Huamarrja afatshkurtë</v>
      </c>
      <c r="C98" s="877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76" t="str">
        <f>'(G1) Fjalori'!A304</f>
        <v>Huamarrja afatgjatë</v>
      </c>
      <c r="C99" s="877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911" t="str">
        <f>'(G1) Fjalori'!A305</f>
        <v>TRASHËGIMI NGA VITI I SHKUAR</v>
      </c>
      <c r="C100" s="912"/>
      <c r="D100" s="398">
        <f>'(C2) Burimet viti kaluar'!D94</f>
        <v>0</v>
      </c>
      <c r="E100" s="398">
        <f>'(C2) Burimet viti kaluar'!E94</f>
        <v>0</v>
      </c>
      <c r="F100" s="398">
        <f>'(C2) Burimet viti kaluar'!F94</f>
        <v>0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76" t="str">
        <f>'(G1) Fjalori'!A306</f>
        <v>Trashëgimi pa destinacion</v>
      </c>
      <c r="C101" s="877"/>
      <c r="D101" s="235">
        <f>'(C2) Burimet viti kaluar'!D95</f>
        <v>0</v>
      </c>
      <c r="E101" s="235">
        <f>'(C2) Burimet viti kaluar'!E95</f>
        <v>0</v>
      </c>
      <c r="F101" s="235">
        <f>'(C2) Burimet viti kaluar'!F95</f>
        <v>0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76" t="str">
        <f>'(G1) Fjalori'!A307</f>
        <v>Trashëgimi me destinacion</v>
      </c>
      <c r="C102" s="877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0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1521488</v>
      </c>
      <c r="E103" s="447">
        <f>E100+E97+E91+E7</f>
        <v>1715615</v>
      </c>
      <c r="F103" s="447">
        <f>F100+F97+F91+F7</f>
        <v>1759743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1760043.3900000001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1782629.3900000001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1811634.3900000001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8Fud91LMdVjcWN0blYiVQxOgdinrtehVAx1PYarlgx3rT3Kbd6BN3P+nPO5edkPlki/Q9/sbnzRC4M7ST5BFhA==" saltValue="UuEkwJXX15x5WQ8jBYcu/g==" spinCount="100000"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zoomScaleNormal="100" workbookViewId="0">
      <selection activeCell="AK27" sqref="AK27"/>
    </sheetView>
  </sheetViews>
  <sheetFormatPr defaultColWidth="4.140625" defaultRowHeight="15" x14ac:dyDescent="0.25"/>
  <cols>
    <col min="1" max="1" width="9" style="610" customWidth="1"/>
    <col min="2" max="2" width="21.5703125" style="610" customWidth="1"/>
    <col min="3" max="3" width="54.140625" style="610" customWidth="1"/>
    <col min="4" max="4" width="11.28515625" style="611" hidden="1" customWidth="1"/>
    <col min="5" max="5" width="11.28515625" style="610" hidden="1" customWidth="1"/>
    <col min="6" max="6" width="11.28515625" style="610" hidden="1" customWidth="1" collapsed="1"/>
    <col min="7" max="8" width="5.7109375" style="610" hidden="1" customWidth="1"/>
    <col min="9" max="9" width="7.140625" style="610" hidden="1" customWidth="1"/>
    <col min="10" max="10" width="5.85546875" style="610" hidden="1" customWidth="1"/>
    <col min="11" max="11" width="6.28515625" style="610" hidden="1" customWidth="1"/>
    <col min="12" max="13" width="5.7109375" style="610" hidden="1" customWidth="1"/>
    <col min="14" max="14" width="7.28515625" style="610" hidden="1" customWidth="1"/>
    <col min="15" max="15" width="11.5703125" style="610" hidden="1" customWidth="1"/>
    <col min="16" max="17" width="5.140625" style="610" hidden="1" customWidth="1"/>
    <col min="18" max="18" width="5.85546875" style="610" hidden="1" customWidth="1"/>
    <col min="19" max="19" width="5.140625" style="610" hidden="1" customWidth="1"/>
    <col min="20" max="20" width="6" style="610" hidden="1" customWidth="1"/>
    <col min="21" max="21" width="5.85546875" style="610" hidden="1" customWidth="1"/>
    <col min="22" max="22" width="5.140625" style="610" hidden="1" customWidth="1"/>
    <col min="23" max="23" width="7.28515625" style="610" hidden="1" customWidth="1"/>
    <col min="24" max="24" width="11.5703125" style="610" hidden="1" customWidth="1"/>
    <col min="25" max="26" width="5.140625" style="610" hidden="1" customWidth="1"/>
    <col min="27" max="28" width="5.85546875" style="610" hidden="1" customWidth="1"/>
    <col min="29" max="29" width="7.140625" style="610" hidden="1" customWidth="1"/>
    <col min="30" max="31" width="5.140625" style="610" hidden="1" customWidth="1"/>
    <col min="32" max="32" width="6.28515625" style="610" hidden="1" customWidth="1"/>
    <col min="33" max="34" width="11.5703125" style="610" hidden="1" customWidth="1"/>
    <col min="35" max="35" width="75" style="610" hidden="1" customWidth="1"/>
    <col min="36" max="36" width="18.85546875" style="610" hidden="1" customWidth="1"/>
    <col min="37" max="46" width="11.5703125" style="610" customWidth="1"/>
    <col min="47" max="47" width="16.28515625" style="610" customWidth="1"/>
    <col min="48" max="48" width="11.5703125" style="610" customWidth="1"/>
    <col min="49" max="49" width="15.5703125" style="610" customWidth="1"/>
    <col min="50" max="50" width="11.5703125" style="610" customWidth="1"/>
    <col min="51" max="51" width="14.85546875" style="610" customWidth="1"/>
    <col min="52" max="199" width="11.5703125" style="610" customWidth="1"/>
    <col min="200" max="200" width="3.85546875" style="610" customWidth="1"/>
    <col min="201" max="201" width="22" style="610" customWidth="1"/>
    <col min="202" max="204" width="4.140625" style="610" customWidth="1"/>
    <col min="205" max="205" width="5.85546875" style="610" customWidth="1"/>
    <col min="206" max="206" width="4.140625" style="610" customWidth="1"/>
    <col min="207" max="207" width="0.85546875" style="610" customWidth="1"/>
    <col min="208" max="208" width="5.85546875" style="610" customWidth="1"/>
    <col min="209" max="209" width="4.140625" style="610" customWidth="1"/>
    <col min="210" max="210" width="0.85546875" style="610" customWidth="1"/>
    <col min="211" max="211" width="5.85546875" style="610" customWidth="1"/>
    <col min="212" max="212" width="4.140625" style="610" customWidth="1"/>
    <col min="213" max="213" width="0.85546875" style="610" customWidth="1"/>
    <col min="214" max="214" width="5.85546875" style="610" customWidth="1"/>
    <col min="215" max="16384" width="4.140625" style="610"/>
  </cols>
  <sheetData>
    <row r="1" spans="1:54" s="576" customFormat="1" ht="15" customHeight="1" x14ac:dyDescent="0.25">
      <c r="A1" s="922" t="str">
        <f>'(G1) Fjalori'!A13</f>
        <v>Verdhë = Per tu plotësuar nga Departamenti i Financës</v>
      </c>
      <c r="B1" s="922"/>
      <c r="C1" s="922"/>
      <c r="D1" s="922"/>
      <c r="E1" s="922"/>
      <c r="F1" s="922"/>
      <c r="G1" s="922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  <c r="T1" s="922"/>
      <c r="U1" s="922"/>
      <c r="V1" s="922"/>
      <c r="W1" s="922"/>
      <c r="X1" s="922"/>
      <c r="Y1" s="922"/>
      <c r="Z1" s="922"/>
      <c r="AA1" s="922"/>
      <c r="AB1" s="922"/>
      <c r="AC1" s="922"/>
      <c r="AD1" s="922"/>
      <c r="AE1" s="922"/>
      <c r="AF1" s="922"/>
      <c r="AG1" s="922"/>
      <c r="AH1" s="922"/>
      <c r="AI1" s="922"/>
      <c r="AJ1" s="922"/>
      <c r="AK1" s="922"/>
      <c r="AL1" s="922"/>
      <c r="AM1" s="922"/>
      <c r="AN1" s="922"/>
      <c r="AO1" s="922"/>
      <c r="AP1" s="922"/>
      <c r="AQ1" s="922"/>
      <c r="AR1" s="922"/>
      <c r="AS1" s="922"/>
      <c r="AT1" s="922"/>
      <c r="AU1" s="922"/>
      <c r="AV1" s="922"/>
      <c r="AW1" s="922"/>
      <c r="AX1" s="922"/>
      <c r="AY1" s="922"/>
      <c r="AZ1" s="922"/>
      <c r="BA1" s="922"/>
      <c r="BB1" s="922"/>
    </row>
    <row r="2" spans="1:54" s="576" customFormat="1" ht="13.15" customHeight="1" x14ac:dyDescent="0.25">
      <c r="D2" s="578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20"/>
      <c r="AY2" s="620"/>
      <c r="AZ2" s="615"/>
      <c r="BA2" s="615"/>
      <c r="BB2" s="615"/>
    </row>
    <row r="3" spans="1:54" s="576" customFormat="1" ht="21" customHeight="1" x14ac:dyDescent="0.25">
      <c r="A3" s="921" t="str">
        <f>'(G1) Fjalori'!A357</f>
        <v>(E2) KONTROLLI I BESUESHMERISE NE VLERESIMIN E TE ARDHURAVE TE VETA</v>
      </c>
      <c r="B3" s="921"/>
      <c r="C3" s="921"/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921"/>
      <c r="O3" s="921"/>
      <c r="P3" s="921"/>
      <c r="Q3" s="921"/>
      <c r="R3" s="921"/>
      <c r="S3" s="921"/>
      <c r="T3" s="921"/>
      <c r="U3" s="921"/>
      <c r="V3" s="921"/>
      <c r="W3" s="921"/>
      <c r="X3" s="921"/>
      <c r="Y3" s="921"/>
      <c r="Z3" s="921"/>
      <c r="AA3" s="921"/>
      <c r="AB3" s="921"/>
      <c r="AC3" s="921"/>
      <c r="AD3" s="921"/>
      <c r="AE3" s="921"/>
      <c r="AF3" s="921"/>
      <c r="AG3" s="921"/>
      <c r="AH3" s="921"/>
      <c r="AI3" s="921"/>
      <c r="AJ3" s="921"/>
      <c r="AK3" s="921"/>
      <c r="AL3" s="921"/>
      <c r="AM3" s="921"/>
      <c r="AN3" s="921"/>
      <c r="AO3" s="921"/>
      <c r="AP3" s="921"/>
      <c r="AQ3" s="921"/>
      <c r="AR3" s="921"/>
      <c r="AS3" s="921"/>
      <c r="AT3" s="921"/>
      <c r="AU3" s="921"/>
      <c r="AV3" s="921"/>
      <c r="AW3" s="921"/>
      <c r="AX3" s="921"/>
      <c r="AY3" s="921"/>
      <c r="AZ3" s="921"/>
      <c r="BA3" s="921"/>
      <c r="BB3" s="921"/>
    </row>
    <row r="4" spans="1:54" s="621" customFormat="1" ht="13.15" customHeight="1" x14ac:dyDescent="0.25">
      <c r="B4" s="622"/>
      <c r="C4" s="622"/>
      <c r="AI4" s="24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4"/>
      <c r="AY4" s="624"/>
      <c r="AZ4" s="623"/>
      <c r="BA4" s="623"/>
      <c r="BB4" s="623"/>
    </row>
    <row r="5" spans="1:54" s="576" customFormat="1" ht="17.25" customHeight="1" x14ac:dyDescent="0.25">
      <c r="D5" s="579">
        <f>'(B1)Informacion i përgjithshëm '!B5</f>
        <v>2019</v>
      </c>
      <c r="E5" s="579">
        <f>'(B1)Informacion i përgjithshëm '!B6</f>
        <v>2020</v>
      </c>
      <c r="F5" s="579">
        <f>'(B1)Informacion i përgjithshëm '!B7</f>
        <v>2021</v>
      </c>
      <c r="G5" s="931">
        <f>'(A1) Titulli'!B42</f>
        <v>2022</v>
      </c>
      <c r="H5" s="932"/>
      <c r="I5" s="932"/>
      <c r="J5" s="932"/>
      <c r="K5" s="932"/>
      <c r="L5" s="932"/>
      <c r="M5" s="932"/>
      <c r="N5" s="932"/>
      <c r="O5" s="933"/>
      <c r="P5" s="931">
        <f>'(A1) Titulli'!B43</f>
        <v>2023</v>
      </c>
      <c r="Q5" s="932"/>
      <c r="R5" s="932"/>
      <c r="S5" s="932"/>
      <c r="T5" s="932"/>
      <c r="U5" s="932"/>
      <c r="V5" s="932"/>
      <c r="W5" s="932"/>
      <c r="X5" s="932"/>
      <c r="Y5" s="931">
        <f>'(A1) Titulli'!B44</f>
        <v>2024</v>
      </c>
      <c r="Z5" s="932"/>
      <c r="AA5" s="932"/>
      <c r="AB5" s="932"/>
      <c r="AC5" s="932"/>
      <c r="AD5" s="932"/>
      <c r="AE5" s="932"/>
      <c r="AF5" s="932"/>
      <c r="AG5" s="933"/>
      <c r="AK5" s="568">
        <f>D$5</f>
        <v>2019</v>
      </c>
      <c r="AL5" s="568">
        <f>E$5</f>
        <v>2020</v>
      </c>
      <c r="AM5" s="568">
        <f>F$5</f>
        <v>2021</v>
      </c>
      <c r="AN5" s="170">
        <f>AM5+1</f>
        <v>2022</v>
      </c>
      <c r="AO5" s="170">
        <f t="shared" ref="AO5:AP5" si="0">AN5+1</f>
        <v>2023</v>
      </c>
      <c r="AP5" s="170">
        <f t="shared" si="0"/>
        <v>2024</v>
      </c>
      <c r="AQ5" s="170">
        <f t="shared" ref="AQ5:AS5" si="1">AN5</f>
        <v>2022</v>
      </c>
      <c r="AR5" s="170">
        <f t="shared" si="1"/>
        <v>2023</v>
      </c>
      <c r="AS5" s="170">
        <f t="shared" si="1"/>
        <v>2024</v>
      </c>
      <c r="AT5" s="919">
        <f>AQ5</f>
        <v>2022</v>
      </c>
      <c r="AU5" s="920"/>
      <c r="AV5" s="919">
        <f>AR5</f>
        <v>2023</v>
      </c>
      <c r="AW5" s="920"/>
      <c r="AX5" s="919">
        <f>AS5</f>
        <v>2024</v>
      </c>
      <c r="AY5" s="920"/>
      <c r="AZ5" s="170">
        <f>AQ5</f>
        <v>2022</v>
      </c>
      <c r="BA5" s="170">
        <f t="shared" ref="BA5:BB5" si="2">AR5</f>
        <v>2023</v>
      </c>
      <c r="BB5" s="170">
        <f t="shared" si="2"/>
        <v>2024</v>
      </c>
    </row>
    <row r="6" spans="1:54" s="580" customFormat="1" ht="44.1" customHeight="1" thickBot="1" x14ac:dyDescent="0.3">
      <c r="B6" s="581"/>
      <c r="C6" s="581"/>
      <c r="D6" s="582" t="str">
        <f>'(B1)Informacion i përgjithshëm '!A5</f>
        <v>Viti t-2</v>
      </c>
      <c r="E6" s="582" t="str">
        <f>'(G1) Fjalori'!A6</f>
        <v>Viti i shkuar</v>
      </c>
      <c r="F6" s="583" t="str">
        <f>'(G1) Fjalori'!A7</f>
        <v>Viti aktual</v>
      </c>
      <c r="G6" s="584" t="str">
        <f>'(G1) Fjalori'!A343</f>
        <v>Impakti i rritjes reale ekonomike në %</v>
      </c>
      <c r="H6" s="584" t="str">
        <f>'(G1) Fjalori'!A342</f>
        <v>Impakti i inflacionit në %</v>
      </c>
      <c r="I6" s="584" t="str">
        <f>'(G1) Fjalori'!A345</f>
        <v>Impakti i rritjes së popullsisë në %</v>
      </c>
      <c r="J6" s="584" t="str">
        <f>'(G1) Fjalori'!A346</f>
        <v>Vlerësimi i impaktit nga përmirësimi në %</v>
      </c>
      <c r="K6" s="584" t="str">
        <f>'(G1) Fjalori'!A348</f>
        <v>Përmirësimi i përdorimit të potencialit tatimor në %</v>
      </c>
      <c r="L6" s="584" t="str">
        <f>'(G1) Fjalori'!A349</f>
        <v>Ndryshimi i normës së taksës në %</v>
      </c>
      <c r="M6" s="584" t="str">
        <f>'(G1) Fjalori'!A347</f>
        <v>Vlerësimi i impaktit të faktorëve të tjerë në %</v>
      </c>
      <c r="N6" s="584" t="str">
        <f>'(G1) Fjalori'!A$762</f>
        <v>Vlera bazë e të ardhurave të reja</v>
      </c>
      <c r="P6" s="584" t="str">
        <f t="shared" ref="P6:W6" si="3">G6</f>
        <v>Impakti i rritjes reale ekonomike në %</v>
      </c>
      <c r="Q6" s="584" t="str">
        <f t="shared" si="3"/>
        <v>Impakti i inflacionit në %</v>
      </c>
      <c r="R6" s="584" t="str">
        <f t="shared" si="3"/>
        <v>Impakti i rritjes së popullsisë në %</v>
      </c>
      <c r="S6" s="584" t="str">
        <f t="shared" si="3"/>
        <v>Vlerësimi i impaktit nga përmirësimi në %</v>
      </c>
      <c r="T6" s="584" t="str">
        <f t="shared" si="3"/>
        <v>Përmirësimi i përdorimit të potencialit tatimor në %</v>
      </c>
      <c r="U6" s="584" t="str">
        <f t="shared" si="3"/>
        <v>Ndryshimi i normës së taksës në %</v>
      </c>
      <c r="V6" s="584" t="str">
        <f t="shared" si="3"/>
        <v>Vlerësimi i impaktit të faktorëve të tjerë në %</v>
      </c>
      <c r="W6" s="584" t="str">
        <f t="shared" si="3"/>
        <v>Vlera bazë e të ardhurave të reja</v>
      </c>
      <c r="Y6" s="584" t="str">
        <f t="shared" ref="Y6:AF6" si="4">P6</f>
        <v>Impakti i rritjes reale ekonomike në %</v>
      </c>
      <c r="Z6" s="584" t="str">
        <f t="shared" si="4"/>
        <v>Impakti i inflacionit në %</v>
      </c>
      <c r="AA6" s="584" t="str">
        <f t="shared" si="4"/>
        <v>Impakti i rritjes së popullsisë në %</v>
      </c>
      <c r="AB6" s="584" t="str">
        <f t="shared" si="4"/>
        <v>Vlerësimi i impaktit nga përmirësimi në %</v>
      </c>
      <c r="AC6" s="584" t="str">
        <f t="shared" si="4"/>
        <v>Përmirësimi i përdorimit të potencialit tatimor në %</v>
      </c>
      <c r="AD6" s="584" t="str">
        <f t="shared" si="4"/>
        <v>Ndryshimi i normës së taksës në %</v>
      </c>
      <c r="AE6" s="584" t="str">
        <f t="shared" si="4"/>
        <v>Vlerësimi i impaktit të faktorëve të tjerë në %</v>
      </c>
      <c r="AF6" s="584" t="str">
        <f t="shared" si="4"/>
        <v>Vlera bazë e të ardhurave të reja</v>
      </c>
      <c r="AG6" s="585"/>
      <c r="AI6" s="614"/>
      <c r="AK6" s="923" t="str">
        <f>'(G1) Fjalori'!A1020</f>
        <v>Rezultatet e viteve të kaluara</v>
      </c>
      <c r="AL6" s="923"/>
      <c r="AM6" s="923"/>
      <c r="AN6" s="923" t="str">
        <f>'(G1) Fjalori'!A1021</f>
        <v>Vlerësimi më i mirë i trendit</v>
      </c>
      <c r="AO6" s="923"/>
      <c r="AP6" s="923"/>
      <c r="AQ6" s="923" t="str">
        <f>'(G1) Fjalori'!A1022</f>
        <v>Intervali i besimit të lartë</v>
      </c>
      <c r="AR6" s="923"/>
      <c r="AS6" s="923"/>
      <c r="AT6" s="924" t="str">
        <f>'(G1) Fjalori'!A1023</f>
        <v>Vlerësimi i buxhetit</v>
      </c>
      <c r="AU6" s="924"/>
      <c r="AV6" s="924"/>
      <c r="AW6" s="924"/>
      <c r="AX6" s="924"/>
      <c r="AY6" s="924"/>
      <c r="AZ6" s="923" t="str">
        <f>'(G1) Fjalori'!A1024</f>
        <v>Intervali i besimit të ulët</v>
      </c>
      <c r="BA6" s="923"/>
      <c r="BB6" s="923"/>
    </row>
    <row r="7" spans="1:54" s="576" customFormat="1" ht="15.75" hidden="1" thickBot="1" x14ac:dyDescent="0.3">
      <c r="A7" s="586" t="str">
        <f>'(C2) Burimet viti kaluar'!C7</f>
        <v>A</v>
      </c>
      <c r="B7" s="934" t="str">
        <f>'(G1) Fjalori'!A218</f>
        <v>TË ARDHURA NGA BURIMET E VETA</v>
      </c>
      <c r="C7" s="935"/>
      <c r="D7" s="587">
        <f>'(C2) Burimet viti kaluar'!D7</f>
        <v>119400</v>
      </c>
      <c r="E7" s="587">
        <f>'(C2) Burimet viti kaluar'!E7</f>
        <v>117869</v>
      </c>
      <c r="F7" s="587">
        <f>'(C2) Burimet viti kaluar'!F7</f>
        <v>151065</v>
      </c>
      <c r="G7" s="588"/>
      <c r="H7" s="588"/>
      <c r="I7" s="588"/>
      <c r="J7" s="588"/>
      <c r="K7" s="588"/>
      <c r="L7" s="588"/>
      <c r="M7" s="588"/>
      <c r="N7" s="588"/>
      <c r="O7" s="589" t="e">
        <f>O8+#REF!+O22+#REF!</f>
        <v>#REF!</v>
      </c>
      <c r="P7" s="588"/>
      <c r="Q7" s="588"/>
      <c r="R7" s="588"/>
      <c r="S7" s="588"/>
      <c r="T7" s="588"/>
      <c r="U7" s="588"/>
      <c r="V7" s="588"/>
      <c r="W7" s="588"/>
      <c r="X7" s="590" t="e">
        <f>X8+#REF!+X22+#REF!</f>
        <v>#REF!</v>
      </c>
      <c r="Y7" s="590"/>
      <c r="Z7" s="588"/>
      <c r="AA7" s="588"/>
      <c r="AB7" s="588"/>
      <c r="AC7" s="588"/>
      <c r="AD7" s="588"/>
      <c r="AE7" s="588"/>
      <c r="AF7" s="588"/>
      <c r="AG7" s="589" t="e">
        <f>AG8+#REF!+AG22+#REF!</f>
        <v>#REF!</v>
      </c>
      <c r="AJ7" s="625"/>
      <c r="AK7" s="563">
        <f t="shared" ref="AK7:AK8" si="5">D7</f>
        <v>119400</v>
      </c>
      <c r="AL7" s="563">
        <f t="shared" ref="AL7:AL8" si="6">E7</f>
        <v>117869</v>
      </c>
      <c r="AM7" s="563">
        <f t="shared" ref="AM7:AM8" si="7">F7</f>
        <v>151065</v>
      </c>
      <c r="AN7" s="575" t="e">
        <f t="shared" ref="AN7" ca="1" si="8">_xlfn.FORECAST.ETS(AN$5,AK7:AM7,AK$5:AM$5,0,1)</f>
        <v>#NAME?</v>
      </c>
      <c r="AO7" s="575" t="e">
        <f t="shared" ref="AO7:AO8" ca="1" si="9">_xlfn.FORECAST.ETS(AO$5,AK7:AM7,AK$5:AM$5,0,1)</f>
        <v>#NAME?</v>
      </c>
      <c r="AP7" s="575" t="e">
        <f t="shared" ref="AP7:AP8" ca="1" si="10">_xlfn.FORECAST.ETS(AP$5,AK7:AM7,AK$5:AM$5,0,1)</f>
        <v>#NAME?</v>
      </c>
      <c r="AQ7" s="575" t="e">
        <f t="shared" ref="AQ7:AQ8" ca="1" si="11">AN7+_xlfn.FORECAST.ETS.CONFINT(AN$5,AK7:AM7,AK$5:AM$5,0.8,0)</f>
        <v>#NAME?</v>
      </c>
      <c r="AR7" s="575" t="e">
        <f t="shared" ref="AR7:AR8" ca="1" si="12">AO7+_xlfn.FORECAST.ETS.CONFINT(AO$5,AK7:AM7,AK$5:AM$5,0.8,0)</f>
        <v>#NAME?</v>
      </c>
      <c r="AS7" s="616" t="e">
        <f t="shared" ref="AS7:AS8" ca="1" si="13">AP7+_xlfn.FORECAST.ETS.CONFINT(AP$5,AK7:AM7,AK$5:AM$5,0.8,0)</f>
        <v>#NAME?</v>
      </c>
      <c r="AT7" s="617">
        <f>'(E1) Vlerësimi i burimeve'!O7</f>
        <v>151065.39000000001</v>
      </c>
      <c r="AU7" s="619" t="e">
        <f t="shared" ref="AU7" ca="1" si="14">IF(OR(AT7&gt;AQ7,AT7&lt;AZ7),"ATTENTION","Plausible")</f>
        <v>#NAME?</v>
      </c>
      <c r="AV7" s="617">
        <f>'(E1) Vlerësimi i burimeve'!X7</f>
        <v>151065.39000000001</v>
      </c>
      <c r="AW7" s="619" t="e">
        <f t="shared" ref="AW7" ca="1" si="15">IF(OR(AV7&gt;AR7,AV7&lt;BA7),"ATTENTION","Plausible")</f>
        <v>#NAME?</v>
      </c>
      <c r="AX7" s="617">
        <f>'(E1) Vlerësimi i burimeve'!AG7</f>
        <v>151065.39000000001</v>
      </c>
      <c r="AY7" s="619" t="e">
        <f t="shared" ref="AY7" ca="1" si="16">IF(OR(AX7&gt;AS7,AX7&lt;BB7),"ATTENTION","Plausible")</f>
        <v>#NAME?</v>
      </c>
      <c r="AZ7" s="618" t="e">
        <f t="shared" ref="AZ7:AZ8" ca="1" si="17">AN7-_xlfn.FORECAST.ETS.CONFINT(AN$5,AK7:AM7,AK$5:AM$5,0.8,0)</f>
        <v>#NAME?</v>
      </c>
      <c r="BA7" s="575" t="e">
        <f t="shared" ref="BA7:BA8" ca="1" si="18">AO7-_xlfn.FORECAST.ETS.CONFINT(AO$5,AK7:AM7,AK$5:AM$5,0.8,0)</f>
        <v>#NAME?</v>
      </c>
      <c r="BB7" s="575" t="e">
        <f t="shared" ref="BB7:BB8" ca="1" si="19">AP7-_xlfn.FORECAST.ETS.CONFINT(AP$5,AK7:AM7,AK$5:AM$5,0.8,0)</f>
        <v>#NAME?</v>
      </c>
    </row>
    <row r="8" spans="1:54" s="576" customFormat="1" ht="15.75" thickBot="1" x14ac:dyDescent="0.3">
      <c r="A8" s="591" t="str">
        <f>'(C2) Burimet viti kaluar'!C8</f>
        <v>A.1</v>
      </c>
      <c r="B8" s="929" t="str">
        <f>'(G1) Fjalori'!A219</f>
        <v>TË ARDHURA NGA TAKSAT LOKALE</v>
      </c>
      <c r="C8" s="930"/>
      <c r="D8" s="592">
        <f>'(C2) Burimet viti kaluar'!D8</f>
        <v>28580</v>
      </c>
      <c r="E8" s="592">
        <f>'(C2) Burimet viti kaluar'!E8</f>
        <v>24707</v>
      </c>
      <c r="F8" s="592">
        <f>'(C2) Burimet viti kaluar'!F8</f>
        <v>40101</v>
      </c>
      <c r="G8" s="637"/>
      <c r="H8" s="637"/>
      <c r="I8" s="637"/>
      <c r="J8" s="637"/>
      <c r="K8" s="637"/>
      <c r="L8" s="637"/>
      <c r="M8" s="637"/>
      <c r="N8" s="637"/>
      <c r="O8" s="592">
        <f>SUM(O9:O21)-O10</f>
        <v>40161</v>
      </c>
      <c r="P8" s="637"/>
      <c r="Q8" s="637"/>
      <c r="R8" s="637"/>
      <c r="S8" s="637"/>
      <c r="T8" s="637"/>
      <c r="U8" s="637"/>
      <c r="V8" s="637"/>
      <c r="W8" s="637"/>
      <c r="X8" s="593">
        <f>SUM(X9:X21)-X10</f>
        <v>42057.3</v>
      </c>
      <c r="Y8" s="638"/>
      <c r="Z8" s="637"/>
      <c r="AA8" s="637"/>
      <c r="AB8" s="637"/>
      <c r="AC8" s="637"/>
      <c r="AD8" s="637"/>
      <c r="AE8" s="637"/>
      <c r="AF8" s="637"/>
      <c r="AG8" s="592">
        <f>SUM(AG9:AG21)-AG10</f>
        <v>43066.889000000003</v>
      </c>
      <c r="AH8" s="639"/>
      <c r="AI8" s="639"/>
      <c r="AJ8" s="640"/>
      <c r="AK8" s="641">
        <f t="shared" si="5"/>
        <v>28580</v>
      </c>
      <c r="AL8" s="641">
        <f t="shared" si="6"/>
        <v>24707</v>
      </c>
      <c r="AM8" s="641">
        <f t="shared" si="7"/>
        <v>40101</v>
      </c>
      <c r="AN8" s="642" t="e">
        <f ca="1">_xlfn.FORECAST.ETS(AN$5,AK8:AM8,AK$5:AM$5,0,1)</f>
        <v>#NAME?</v>
      </c>
      <c r="AO8" s="642" t="e">
        <f t="shared" ca="1" si="9"/>
        <v>#NAME?</v>
      </c>
      <c r="AP8" s="642" t="e">
        <f t="shared" ca="1" si="10"/>
        <v>#NAME?</v>
      </c>
      <c r="AQ8" s="642" t="e">
        <f t="shared" ca="1" si="11"/>
        <v>#NAME?</v>
      </c>
      <c r="AR8" s="642" t="e">
        <f t="shared" ca="1" si="12"/>
        <v>#NAME?</v>
      </c>
      <c r="AS8" s="642" t="e">
        <f t="shared" ca="1" si="13"/>
        <v>#NAME?</v>
      </c>
      <c r="AT8" s="733">
        <f>'(E1) Vlerësimi i burimeve'!O8</f>
        <v>48685.69</v>
      </c>
      <c r="AU8" s="734" t="e">
        <f t="shared" ref="AU8:AU63" ca="1" si="20">IF(OR(AT8&gt;AQ8,AT8&lt;AZ8),"ATTENTION","Plausible")</f>
        <v>#NAME?</v>
      </c>
      <c r="AV8" s="643">
        <f>'(E1) Vlerësimi i burimeve'!X8</f>
        <v>48685.69</v>
      </c>
      <c r="AW8" s="644" t="e">
        <f t="shared" ref="AW8:AW63" ca="1" si="21">IF(OR(AV8&gt;AR8,AV8&lt;BA8),"ATTENTION","Plausible")</f>
        <v>#NAME?</v>
      </c>
      <c r="AX8" s="643">
        <f>'(E1) Vlerësimi i burimeve'!AG8</f>
        <v>48685.69</v>
      </c>
      <c r="AY8" s="644" t="e">
        <f t="shared" ref="AY8:AY63" ca="1" si="22">IF(OR(AX8&gt;AS8,AX8&lt;BB8),"ATTENTION","Plausible")</f>
        <v>#NAME?</v>
      </c>
      <c r="AZ8" s="642" t="e">
        <f t="shared" ca="1" si="17"/>
        <v>#NAME?</v>
      </c>
      <c r="BA8" s="642" t="e">
        <f t="shared" ca="1" si="18"/>
        <v>#NAME?</v>
      </c>
      <c r="BB8" s="642" t="e">
        <f t="shared" ca="1" si="19"/>
        <v>#NAME?</v>
      </c>
    </row>
    <row r="9" spans="1:54" s="594" customFormat="1" ht="15.75" thickBot="1" x14ac:dyDescent="0.3">
      <c r="A9" s="595" t="str">
        <f>'(C2) Burimet viti kaluar'!C9</f>
        <v>A.1.1</v>
      </c>
      <c r="B9" s="595" t="str">
        <f>'(G1) Fjalori'!A220</f>
        <v>Taksa vendore mbi biznesin e vogël</v>
      </c>
      <c r="C9" s="596"/>
      <c r="D9" s="597">
        <f>'(C2) Burimet viti kaluar'!D9</f>
        <v>2073</v>
      </c>
      <c r="E9" s="598">
        <f>'(C2) Burimet viti kaluar'!E9</f>
        <v>1046</v>
      </c>
      <c r="F9" s="598">
        <f>'(C2) Burimet viti kaluar'!F9</f>
        <v>2100</v>
      </c>
      <c r="G9" s="599"/>
      <c r="H9" s="599"/>
      <c r="I9" s="599"/>
      <c r="J9" s="599"/>
      <c r="K9" s="599"/>
      <c r="L9" s="599"/>
      <c r="M9" s="599"/>
      <c r="N9" s="600">
        <v>1000</v>
      </c>
      <c r="O9" s="601">
        <f>IF(F9&lt;&gt;0,F9*(1+(SUM(G9:M9))),N9)</f>
        <v>2100</v>
      </c>
      <c r="P9" s="599"/>
      <c r="Q9" s="599"/>
      <c r="R9" s="599"/>
      <c r="S9" s="599"/>
      <c r="T9" s="599"/>
      <c r="U9" s="599"/>
      <c r="V9" s="599"/>
      <c r="W9" s="600"/>
      <c r="X9" s="601">
        <f>IF(O9&lt;&gt;0,O9*(1+(SUM(P9:V9))),W9)</f>
        <v>2100</v>
      </c>
      <c r="Y9" s="599"/>
      <c r="Z9" s="599"/>
      <c r="AA9" s="599"/>
      <c r="AB9" s="599"/>
      <c r="AC9" s="599"/>
      <c r="AD9" s="599"/>
      <c r="AE9" s="599"/>
      <c r="AF9" s="600"/>
      <c r="AG9" s="601">
        <f>IF(X9&lt;&gt;0,X9*(1+(SUM(Y9:AE9))),AF9)</f>
        <v>2100</v>
      </c>
      <c r="AI9" s="577" t="str">
        <f>B9</f>
        <v>Taksa vendore mbi biznesin e vogël</v>
      </c>
      <c r="AJ9" s="602"/>
      <c r="AK9" s="563">
        <f>D9</f>
        <v>2073</v>
      </c>
      <c r="AL9" s="563">
        <f t="shared" ref="AL9:AM9" si="23">E9</f>
        <v>1046</v>
      </c>
      <c r="AM9" s="563">
        <f t="shared" si="23"/>
        <v>2100</v>
      </c>
      <c r="AN9" s="575" t="e">
        <f ca="1">_xlfn.FORECAST.ETS(AN$5,AK9:AM9,AK$5:AM$5,0,1)</f>
        <v>#NAME?</v>
      </c>
      <c r="AO9" s="575" t="e">
        <f ca="1">_xlfn.FORECAST.ETS(AO$5,AK9:AM9,AK$5:AM$5,0,1)</f>
        <v>#NAME?</v>
      </c>
      <c r="AP9" s="575" t="e">
        <f ca="1">_xlfn.FORECAST.ETS(AP$5,AK9:AM9,AK$5:AM$5,0,1)</f>
        <v>#NAME?</v>
      </c>
      <c r="AQ9" s="575" t="e">
        <f ca="1">AN9+_xlfn.FORECAST.ETS.CONFINT(AN$5,AK9:AM9,AK$5:AM$5,0.8,0)</f>
        <v>#NAME?</v>
      </c>
      <c r="AR9" s="575" t="e">
        <f ca="1">AO9+_xlfn.FORECAST.ETS.CONFINT(AO$5,AK9:AM9,AK$5:AM$5,0.8,0)</f>
        <v>#NAME?</v>
      </c>
      <c r="AS9" s="575" t="e">
        <f ca="1">AP9+_xlfn.FORECAST.ETS.CONFINT(AP$5,AK9:AM9,AK$5:AM$5,0.8,0)</f>
        <v>#NAME?</v>
      </c>
      <c r="AT9" s="735">
        <f>'(E1) Vlerësimi i burimeve'!O9</f>
        <v>2457</v>
      </c>
      <c r="AU9" s="736" t="e">
        <f t="shared" ca="1" si="20"/>
        <v>#NAME?</v>
      </c>
      <c r="AV9" s="735">
        <f>'(E1) Vlerësimi i burimeve'!X9</f>
        <v>2457</v>
      </c>
      <c r="AW9" s="736" t="e">
        <f t="shared" ca="1" si="21"/>
        <v>#NAME?</v>
      </c>
      <c r="AX9" s="735">
        <f>'(E1) Vlerësimi i burimeve'!AG9</f>
        <v>2457</v>
      </c>
      <c r="AY9" s="736" t="e">
        <f t="shared" ca="1" si="22"/>
        <v>#NAME?</v>
      </c>
      <c r="AZ9" s="575" t="e">
        <f ca="1">AN9-_xlfn.FORECAST.ETS.CONFINT(AN$5,AK9:AM9,AK$5:AM$5,0.8,0)</f>
        <v>#NAME?</v>
      </c>
      <c r="BA9" s="575" t="e">
        <f ca="1">AO9-_xlfn.FORECAST.ETS.CONFINT(AO$5,AK9:AM9,AK$5:AM$5,0.8,0)</f>
        <v>#NAME?</v>
      </c>
      <c r="BB9" s="575" t="e">
        <f ca="1">AP9-_xlfn.FORECAST.ETS.CONFINT(AP$5,AK9:AM9,AK$5:AM$5,0.8,0)</f>
        <v>#NAME?</v>
      </c>
    </row>
    <row r="10" spans="1:54" s="594" customFormat="1" ht="15.75" thickBot="1" x14ac:dyDescent="0.3">
      <c r="A10" s="595" t="str">
        <f>'(C2) Burimet viti kaluar'!C10</f>
        <v>A.1.2</v>
      </c>
      <c r="B10" s="603" t="str">
        <f>'(G1) Fjalori'!A221</f>
        <v>Taksa mbi pasurinë e paluajtshme</v>
      </c>
      <c r="C10" s="604"/>
      <c r="D10" s="605">
        <f>'(C2) Burimet viti kaluar'!D10</f>
        <v>14291</v>
      </c>
      <c r="E10" s="605">
        <f>'(C2) Burimet viti kaluar'!E10</f>
        <v>11880</v>
      </c>
      <c r="F10" s="605">
        <f>'(C2) Burimet viti kaluar'!F10</f>
        <v>24101</v>
      </c>
      <c r="G10" s="606"/>
      <c r="H10" s="606"/>
      <c r="I10" s="606"/>
      <c r="J10" s="606"/>
      <c r="K10" s="606"/>
      <c r="L10" s="606"/>
      <c r="M10" s="606"/>
      <c r="N10" s="606"/>
      <c r="O10" s="606">
        <f>SUM(O11:O14)</f>
        <v>24161</v>
      </c>
      <c r="P10" s="606"/>
      <c r="Q10" s="606"/>
      <c r="R10" s="606"/>
      <c r="S10" s="606"/>
      <c r="T10" s="606"/>
      <c r="U10" s="606"/>
      <c r="V10" s="606"/>
      <c r="W10" s="606"/>
      <c r="X10" s="606">
        <f>SUM(X11:X14)</f>
        <v>26057.300000000003</v>
      </c>
      <c r="Y10" s="606"/>
      <c r="Z10" s="606"/>
      <c r="AA10" s="606"/>
      <c r="AB10" s="606"/>
      <c r="AC10" s="606"/>
      <c r="AD10" s="606"/>
      <c r="AE10" s="606"/>
      <c r="AF10" s="606"/>
      <c r="AG10" s="606">
        <f>SUM(AG11:AG14)</f>
        <v>27066.889000000003</v>
      </c>
      <c r="AI10" s="577" t="str">
        <f t="shared" ref="AI10:AI63" si="24">B10</f>
        <v>Taksa mbi pasurinë e paluajtshme</v>
      </c>
      <c r="AJ10" s="602"/>
      <c r="AK10" s="563">
        <f t="shared" ref="AK10:AK63" si="25">D10</f>
        <v>14291</v>
      </c>
      <c r="AL10" s="563">
        <f t="shared" ref="AL10:AL63" si="26">E10</f>
        <v>11880</v>
      </c>
      <c r="AM10" s="563">
        <f t="shared" ref="AM10:AM63" si="27">F10</f>
        <v>24101</v>
      </c>
      <c r="AN10" s="575" t="e">
        <f t="shared" ref="AN10:AN63" ca="1" si="28">_xlfn.FORECAST.ETS(AN$5,AK10:AM10,AK$5:AM$5,0,1)</f>
        <v>#NAME?</v>
      </c>
      <c r="AO10" s="575" t="e">
        <f t="shared" ref="AO10:AO63" ca="1" si="29">_xlfn.FORECAST.ETS(AO$5,AK10:AM10,AK$5:AM$5,0,1)</f>
        <v>#NAME?</v>
      </c>
      <c r="AP10" s="575" t="e">
        <f t="shared" ref="AP10:AP63" ca="1" si="30">_xlfn.FORECAST.ETS(AP$5,AK10:AM10,AK$5:AM$5,0,1)</f>
        <v>#NAME?</v>
      </c>
      <c r="AQ10" s="575" t="e">
        <f t="shared" ref="AQ10:AQ63" ca="1" si="31">AN10+_xlfn.FORECAST.ETS.CONFINT(AN$5,AK10:AM10,AK$5:AM$5,0.8,0)</f>
        <v>#NAME?</v>
      </c>
      <c r="AR10" s="575" t="e">
        <f t="shared" ref="AR10:AR63" ca="1" si="32">AO10+_xlfn.FORECAST.ETS.CONFINT(AO$5,AK10:AM10,AK$5:AM$5,0.8,0)</f>
        <v>#NAME?</v>
      </c>
      <c r="AS10" s="575" t="e">
        <f t="shared" ref="AS10:AS63" ca="1" si="33">AP10+_xlfn.FORECAST.ETS.CONFINT(AP$5,AK10:AM10,AK$5:AM$5,0.8,0)</f>
        <v>#NAME?</v>
      </c>
      <c r="AT10" s="735">
        <f>'(E1) Vlerësimi i burimeve'!O10</f>
        <v>28638.69</v>
      </c>
      <c r="AU10" s="736" t="e">
        <f t="shared" ca="1" si="20"/>
        <v>#NAME?</v>
      </c>
      <c r="AV10" s="735">
        <f>'(E1) Vlerësimi i burimeve'!X10</f>
        <v>28638.69</v>
      </c>
      <c r="AW10" s="736" t="e">
        <f t="shared" ca="1" si="21"/>
        <v>#NAME?</v>
      </c>
      <c r="AX10" s="735">
        <f>'(E1) Vlerësimi i burimeve'!AG10</f>
        <v>28638.69</v>
      </c>
      <c r="AY10" s="736" t="e">
        <f t="shared" ca="1" si="22"/>
        <v>#NAME?</v>
      </c>
      <c r="AZ10" s="575" t="e">
        <f t="shared" ref="AZ10:AZ63" ca="1" si="34">AN10-_xlfn.FORECAST.ETS.CONFINT(AN$5,AK10:AM10,AK$5:AM$5,0.8,0)</f>
        <v>#NAME?</v>
      </c>
      <c r="BA10" s="575" t="e">
        <f t="shared" ref="BA10:BA63" ca="1" si="35">AO10-_xlfn.FORECAST.ETS.CONFINT(AO$5,AK10:AM10,AK$5:AM$5,0.8,0)</f>
        <v>#NAME?</v>
      </c>
      <c r="BB10" s="575" t="e">
        <f t="shared" ref="BB10:BB63" ca="1" si="36">AP10-_xlfn.FORECAST.ETS.CONFINT(AP$5,AK10:AM10,AK$5:AM$5,0.8,0)</f>
        <v>#NAME?</v>
      </c>
    </row>
    <row r="11" spans="1:54" s="576" customFormat="1" ht="15.75" thickBot="1" x14ac:dyDescent="0.3">
      <c r="A11" s="605" t="str">
        <f>'(C2) Burimet viti kaluar'!C11</f>
        <v>A.1.2.1</v>
      </c>
      <c r="B11" s="927" t="str">
        <f>'(G1) Fjalori'!A222</f>
        <v>Taksa mbi ndërtesën</v>
      </c>
      <c r="C11" s="928"/>
      <c r="D11" s="597">
        <f>'(C2) Burimet viti kaluar'!D11</f>
        <v>11344</v>
      </c>
      <c r="E11" s="598">
        <f>'(C2) Burimet viti kaluar'!E11</f>
        <v>8914</v>
      </c>
      <c r="F11" s="598">
        <f>'(C2) Burimet viti kaluar'!F11</f>
        <v>17451</v>
      </c>
      <c r="G11" s="599"/>
      <c r="H11" s="599"/>
      <c r="I11" s="599"/>
      <c r="J11" s="599"/>
      <c r="K11" s="599"/>
      <c r="L11" s="599"/>
      <c r="M11" s="599"/>
      <c r="N11" s="600">
        <v>1000</v>
      </c>
      <c r="O11" s="601">
        <f>IF(F11&lt;&gt;0,F11*(1+(SUM(G11:M11))),N11)</f>
        <v>17451</v>
      </c>
      <c r="P11" s="599"/>
      <c r="Q11" s="599">
        <v>0.02</v>
      </c>
      <c r="R11" s="599">
        <v>0.01</v>
      </c>
      <c r="S11" s="599"/>
      <c r="T11" s="599">
        <v>7.0000000000000007E-2</v>
      </c>
      <c r="U11" s="599"/>
      <c r="V11" s="599"/>
      <c r="W11" s="600"/>
      <c r="X11" s="601">
        <f>IF(O11&lt;&gt;0,O11*(1+(SUM(P11:V11))),W11)</f>
        <v>19196.100000000002</v>
      </c>
      <c r="Y11" s="599"/>
      <c r="Z11" s="599">
        <v>0.01</v>
      </c>
      <c r="AA11" s="599">
        <v>0.01</v>
      </c>
      <c r="AB11" s="599"/>
      <c r="AC11" s="599">
        <v>0.03</v>
      </c>
      <c r="AD11" s="599"/>
      <c r="AE11" s="599"/>
      <c r="AF11" s="600"/>
      <c r="AG11" s="601">
        <f>IF(X11&lt;&gt;0,X11*(1+(SUM(Y11:AE11))),AF11)</f>
        <v>20155.905000000002</v>
      </c>
      <c r="AI11" s="577" t="str">
        <f t="shared" si="24"/>
        <v>Taksa mbi ndërtesën</v>
      </c>
      <c r="AJ11" s="602"/>
      <c r="AK11" s="563">
        <f t="shared" si="25"/>
        <v>11344</v>
      </c>
      <c r="AL11" s="563">
        <f t="shared" si="26"/>
        <v>8914</v>
      </c>
      <c r="AM11" s="563">
        <f t="shared" si="27"/>
        <v>17451</v>
      </c>
      <c r="AN11" s="575" t="e">
        <f t="shared" ca="1" si="28"/>
        <v>#NAME?</v>
      </c>
      <c r="AO11" s="575" t="e">
        <f t="shared" ca="1" si="29"/>
        <v>#NAME?</v>
      </c>
      <c r="AP11" s="575" t="e">
        <f t="shared" ca="1" si="30"/>
        <v>#NAME?</v>
      </c>
      <c r="AQ11" s="575" t="e">
        <f t="shared" ca="1" si="31"/>
        <v>#NAME?</v>
      </c>
      <c r="AR11" s="575" t="e">
        <f t="shared" ca="1" si="32"/>
        <v>#NAME?</v>
      </c>
      <c r="AS11" s="575" t="e">
        <f t="shared" ca="1" si="33"/>
        <v>#NAME?</v>
      </c>
      <c r="AT11" s="735">
        <f>'(E1) Vlerësimi i burimeve'!O11</f>
        <v>20766.689999999999</v>
      </c>
      <c r="AU11" s="736" t="e">
        <f t="shared" ca="1" si="20"/>
        <v>#NAME?</v>
      </c>
      <c r="AV11" s="735">
        <f>'(E1) Vlerësimi i burimeve'!X11</f>
        <v>20766.689999999999</v>
      </c>
      <c r="AW11" s="736" t="e">
        <f t="shared" ca="1" si="21"/>
        <v>#NAME?</v>
      </c>
      <c r="AX11" s="735">
        <f>'(E1) Vlerësimi i burimeve'!AG11</f>
        <v>20766.689999999999</v>
      </c>
      <c r="AY11" s="736" t="e">
        <f t="shared" ca="1" si="22"/>
        <v>#NAME?</v>
      </c>
      <c r="AZ11" s="575" t="e">
        <f t="shared" ca="1" si="34"/>
        <v>#NAME?</v>
      </c>
      <c r="BA11" s="575" t="e">
        <f t="shared" ca="1" si="35"/>
        <v>#NAME?</v>
      </c>
      <c r="BB11" s="575" t="e">
        <f t="shared" ca="1" si="36"/>
        <v>#NAME?</v>
      </c>
    </row>
    <row r="12" spans="1:54" s="576" customFormat="1" ht="15.75" thickBot="1" x14ac:dyDescent="0.3">
      <c r="A12" s="605" t="str">
        <f>'(C2) Burimet viti kaluar'!C12</f>
        <v>A.1.2.2</v>
      </c>
      <c r="B12" s="927" t="str">
        <f>'(G1) Fjalori'!A223</f>
        <v>Taksa mbi tokën bujqësore</v>
      </c>
      <c r="C12" s="928"/>
      <c r="D12" s="598">
        <f>'(C2) Burimet viti kaluar'!D12</f>
        <v>2267</v>
      </c>
      <c r="E12" s="598">
        <f>'(C2) Burimet viti kaluar'!E12</f>
        <v>1393</v>
      </c>
      <c r="F12" s="598">
        <f>'(C2) Burimet viti kaluar'!F12</f>
        <v>5300</v>
      </c>
      <c r="G12" s="599"/>
      <c r="H12" s="599"/>
      <c r="I12" s="599"/>
      <c r="J12" s="599"/>
      <c r="K12" s="599"/>
      <c r="L12" s="599"/>
      <c r="M12" s="599"/>
      <c r="N12" s="600"/>
      <c r="O12" s="601">
        <f t="shared" ref="O12:O21" si="37">IF(F12&lt;&gt;0,F12*(1+(SUM(G12:M12))),N12)</f>
        <v>5300</v>
      </c>
      <c r="P12" s="599"/>
      <c r="Q12" s="599"/>
      <c r="R12" s="599"/>
      <c r="S12" s="599"/>
      <c r="T12" s="599"/>
      <c r="U12" s="599"/>
      <c r="V12" s="599"/>
      <c r="W12" s="600"/>
      <c r="X12" s="601">
        <f t="shared" ref="X12:X21" si="38">IF(O12&lt;&gt;0,O12*(1+(SUM(P12:V12))),W12)</f>
        <v>5300</v>
      </c>
      <c r="Y12" s="599"/>
      <c r="Z12" s="599"/>
      <c r="AA12" s="599"/>
      <c r="AB12" s="599"/>
      <c r="AC12" s="599"/>
      <c r="AD12" s="599"/>
      <c r="AE12" s="599"/>
      <c r="AF12" s="600"/>
      <c r="AG12" s="601">
        <f t="shared" ref="AG12:AG21" si="39">IF(X12&lt;&gt;0,X12*(1+(SUM(Y12:AE12))),AF12)</f>
        <v>5300</v>
      </c>
      <c r="AI12" s="577" t="str">
        <f t="shared" si="24"/>
        <v>Taksa mbi tokën bujqësore</v>
      </c>
      <c r="AJ12" s="602"/>
      <c r="AK12" s="563">
        <f t="shared" si="25"/>
        <v>2267</v>
      </c>
      <c r="AL12" s="563">
        <f t="shared" si="26"/>
        <v>1393</v>
      </c>
      <c r="AM12" s="563">
        <f t="shared" si="27"/>
        <v>5300</v>
      </c>
      <c r="AN12" s="575" t="e">
        <f t="shared" ca="1" si="28"/>
        <v>#NAME?</v>
      </c>
      <c r="AO12" s="575" t="e">
        <f t="shared" ca="1" si="29"/>
        <v>#NAME?</v>
      </c>
      <c r="AP12" s="575" t="e">
        <f t="shared" ca="1" si="30"/>
        <v>#NAME?</v>
      </c>
      <c r="AQ12" s="575" t="e">
        <f t="shared" ca="1" si="31"/>
        <v>#NAME?</v>
      </c>
      <c r="AR12" s="575" t="e">
        <f t="shared" ca="1" si="32"/>
        <v>#NAME?</v>
      </c>
      <c r="AS12" s="575" t="e">
        <f t="shared" ca="1" si="33"/>
        <v>#NAME?</v>
      </c>
      <c r="AT12" s="735">
        <f>'(E1) Vlerësimi i burimeve'!O12</f>
        <v>6254</v>
      </c>
      <c r="AU12" s="736" t="e">
        <f t="shared" ca="1" si="20"/>
        <v>#NAME?</v>
      </c>
      <c r="AV12" s="735">
        <f>'(E1) Vlerësimi i burimeve'!X12</f>
        <v>6254</v>
      </c>
      <c r="AW12" s="736" t="e">
        <f t="shared" ca="1" si="21"/>
        <v>#NAME?</v>
      </c>
      <c r="AX12" s="735">
        <f>'(E1) Vlerësimi i burimeve'!AG12</f>
        <v>6254</v>
      </c>
      <c r="AY12" s="736" t="e">
        <f t="shared" ca="1" si="22"/>
        <v>#NAME?</v>
      </c>
      <c r="AZ12" s="575" t="e">
        <f t="shared" ca="1" si="34"/>
        <v>#NAME?</v>
      </c>
      <c r="BA12" s="575" t="e">
        <f t="shared" ca="1" si="35"/>
        <v>#NAME?</v>
      </c>
      <c r="BB12" s="575" t="e">
        <f t="shared" ca="1" si="36"/>
        <v>#NAME?</v>
      </c>
    </row>
    <row r="13" spans="1:54" s="576" customFormat="1" ht="15.75" thickBot="1" x14ac:dyDescent="0.3">
      <c r="A13" s="605" t="str">
        <f>'(C2) Burimet viti kaluar'!C13</f>
        <v>A.1.2.3</v>
      </c>
      <c r="B13" s="927" t="str">
        <f>'(G1) Fjalori'!A224</f>
        <v>Taksa mbi truallin</v>
      </c>
      <c r="C13" s="928"/>
      <c r="D13" s="598">
        <f>'(C2) Burimet viti kaluar'!D13</f>
        <v>463</v>
      </c>
      <c r="E13" s="598">
        <f>'(C2) Burimet viti kaluar'!E13</f>
        <v>814</v>
      </c>
      <c r="F13" s="598">
        <f>'(C2) Burimet viti kaluar'!F13</f>
        <v>850</v>
      </c>
      <c r="G13" s="599"/>
      <c r="H13" s="599"/>
      <c r="I13" s="599"/>
      <c r="J13" s="599"/>
      <c r="K13" s="599"/>
      <c r="L13" s="599"/>
      <c r="M13" s="599"/>
      <c r="N13" s="600"/>
      <c r="O13" s="601">
        <f t="shared" si="37"/>
        <v>850</v>
      </c>
      <c r="P13" s="599"/>
      <c r="Q13" s="599"/>
      <c r="R13" s="599"/>
      <c r="S13" s="599"/>
      <c r="T13" s="599"/>
      <c r="U13" s="599"/>
      <c r="V13" s="599"/>
      <c r="W13" s="600"/>
      <c r="X13" s="601">
        <f t="shared" si="38"/>
        <v>850</v>
      </c>
      <c r="Y13" s="599"/>
      <c r="Z13" s="599"/>
      <c r="AA13" s="599"/>
      <c r="AB13" s="599"/>
      <c r="AC13" s="599"/>
      <c r="AD13" s="599"/>
      <c r="AE13" s="599"/>
      <c r="AF13" s="600"/>
      <c r="AG13" s="601">
        <f t="shared" si="39"/>
        <v>850</v>
      </c>
      <c r="AI13" s="577" t="str">
        <f t="shared" si="24"/>
        <v>Taksa mbi truallin</v>
      </c>
      <c r="AJ13" s="602"/>
      <c r="AK13" s="563">
        <f t="shared" si="25"/>
        <v>463</v>
      </c>
      <c r="AL13" s="563">
        <f t="shared" si="26"/>
        <v>814</v>
      </c>
      <c r="AM13" s="563">
        <f t="shared" si="27"/>
        <v>850</v>
      </c>
      <c r="AN13" s="575" t="e">
        <f t="shared" ca="1" si="28"/>
        <v>#NAME?</v>
      </c>
      <c r="AO13" s="575" t="e">
        <f t="shared" ca="1" si="29"/>
        <v>#NAME?</v>
      </c>
      <c r="AP13" s="575" t="e">
        <f t="shared" ca="1" si="30"/>
        <v>#NAME?</v>
      </c>
      <c r="AQ13" s="575" t="e">
        <f t="shared" ca="1" si="31"/>
        <v>#NAME?</v>
      </c>
      <c r="AR13" s="575" t="e">
        <f t="shared" ca="1" si="32"/>
        <v>#NAME?</v>
      </c>
      <c r="AS13" s="575" t="e">
        <f t="shared" ca="1" si="33"/>
        <v>#NAME?</v>
      </c>
      <c r="AT13" s="735">
        <f>'(E1) Vlerësimi i burimeve'!O13</f>
        <v>1003</v>
      </c>
      <c r="AU13" s="736" t="e">
        <f t="shared" ca="1" si="20"/>
        <v>#NAME?</v>
      </c>
      <c r="AV13" s="735">
        <f>'(E1) Vlerësimi i burimeve'!X13</f>
        <v>1003</v>
      </c>
      <c r="AW13" s="736" t="e">
        <f t="shared" ca="1" si="21"/>
        <v>#NAME?</v>
      </c>
      <c r="AX13" s="735">
        <f>'(E1) Vlerësimi i burimeve'!AG13</f>
        <v>1003</v>
      </c>
      <c r="AY13" s="736" t="e">
        <f t="shared" ca="1" si="22"/>
        <v>#NAME?</v>
      </c>
      <c r="AZ13" s="575" t="e">
        <f t="shared" ca="1" si="34"/>
        <v>#NAME?</v>
      </c>
      <c r="BA13" s="575" t="e">
        <f t="shared" ca="1" si="35"/>
        <v>#NAME?</v>
      </c>
      <c r="BB13" s="575" t="e">
        <f t="shared" ca="1" si="36"/>
        <v>#NAME?</v>
      </c>
    </row>
    <row r="14" spans="1:54" s="576" customFormat="1" ht="15.75" thickBot="1" x14ac:dyDescent="0.3">
      <c r="A14" s="605" t="str">
        <f>'(C2) Burimet viti kaluar'!C14</f>
        <v>A.1.2.4</v>
      </c>
      <c r="B14" s="927" t="str">
        <f>'(G1) Fjalori'!A225</f>
        <v>Taksa mbi transaksionet e pasurisë</v>
      </c>
      <c r="C14" s="928"/>
      <c r="D14" s="598">
        <f>'(C2) Burimet viti kaluar'!D14</f>
        <v>217</v>
      </c>
      <c r="E14" s="598">
        <f>'(C2) Burimet viti kaluar'!E14</f>
        <v>759</v>
      </c>
      <c r="F14" s="598">
        <f>'(C2) Burimet viti kaluar'!F14</f>
        <v>500</v>
      </c>
      <c r="G14" s="599">
        <v>0.02</v>
      </c>
      <c r="H14" s="599"/>
      <c r="I14" s="599"/>
      <c r="J14" s="599"/>
      <c r="K14" s="599">
        <v>0.1</v>
      </c>
      <c r="L14" s="599"/>
      <c r="M14" s="599"/>
      <c r="N14" s="600"/>
      <c r="O14" s="601">
        <f t="shared" si="37"/>
        <v>560</v>
      </c>
      <c r="P14" s="599">
        <v>0.02</v>
      </c>
      <c r="Q14" s="599"/>
      <c r="R14" s="599"/>
      <c r="S14" s="599"/>
      <c r="T14" s="599">
        <v>0.05</v>
      </c>
      <c r="U14" s="599">
        <v>0.2</v>
      </c>
      <c r="V14" s="599"/>
      <c r="W14" s="600"/>
      <c r="X14" s="601">
        <f t="shared" si="38"/>
        <v>711.2</v>
      </c>
      <c r="Y14" s="599"/>
      <c r="Z14" s="599">
        <v>0.02</v>
      </c>
      <c r="AA14" s="599"/>
      <c r="AB14" s="599"/>
      <c r="AC14" s="599">
        <v>0.05</v>
      </c>
      <c r="AD14" s="599"/>
      <c r="AE14" s="599"/>
      <c r="AF14" s="600"/>
      <c r="AG14" s="601">
        <f t="shared" si="39"/>
        <v>760.98400000000004</v>
      </c>
      <c r="AI14" s="577" t="str">
        <f t="shared" si="24"/>
        <v>Taksa mbi transaksionet e pasurisë</v>
      </c>
      <c r="AJ14" s="602"/>
      <c r="AK14" s="563">
        <f t="shared" si="25"/>
        <v>217</v>
      </c>
      <c r="AL14" s="563">
        <f t="shared" si="26"/>
        <v>759</v>
      </c>
      <c r="AM14" s="563">
        <f t="shared" si="27"/>
        <v>500</v>
      </c>
      <c r="AN14" s="575" t="e">
        <f t="shared" ca="1" si="28"/>
        <v>#NAME?</v>
      </c>
      <c r="AO14" s="575" t="e">
        <f t="shared" ca="1" si="29"/>
        <v>#NAME?</v>
      </c>
      <c r="AP14" s="575" t="e">
        <f t="shared" ca="1" si="30"/>
        <v>#NAME?</v>
      </c>
      <c r="AQ14" s="575" t="e">
        <f t="shared" ca="1" si="31"/>
        <v>#NAME?</v>
      </c>
      <c r="AR14" s="575" t="e">
        <f t="shared" ca="1" si="32"/>
        <v>#NAME?</v>
      </c>
      <c r="AS14" s="575" t="e">
        <f t="shared" ca="1" si="33"/>
        <v>#NAME?</v>
      </c>
      <c r="AT14" s="735">
        <f>'(E1) Vlerësimi i burimeve'!O14</f>
        <v>615</v>
      </c>
      <c r="AU14" s="736" t="e">
        <f t="shared" ca="1" si="20"/>
        <v>#NAME?</v>
      </c>
      <c r="AV14" s="735">
        <f>'(E1) Vlerësimi i burimeve'!X14</f>
        <v>615</v>
      </c>
      <c r="AW14" s="736" t="e">
        <f t="shared" ca="1" si="21"/>
        <v>#NAME?</v>
      </c>
      <c r="AX14" s="735">
        <f>'(E1) Vlerësimi i burimeve'!AG14</f>
        <v>615</v>
      </c>
      <c r="AY14" s="736" t="e">
        <f t="shared" ca="1" si="22"/>
        <v>#NAME?</v>
      </c>
      <c r="AZ14" s="575" t="e">
        <f t="shared" ca="1" si="34"/>
        <v>#NAME?</v>
      </c>
      <c r="BA14" s="575" t="e">
        <f t="shared" ca="1" si="35"/>
        <v>#NAME?</v>
      </c>
      <c r="BB14" s="575" t="e">
        <f t="shared" ca="1" si="36"/>
        <v>#NAME?</v>
      </c>
    </row>
    <row r="15" spans="1:54" s="594" customFormat="1" ht="15.75" thickBot="1" x14ac:dyDescent="0.3">
      <c r="A15" s="595" t="str">
        <f>'(C2) Burimet viti kaluar'!C15</f>
        <v>A.1.3</v>
      </c>
      <c r="B15" s="595" t="str">
        <f>'(G1) Fjalori'!A226</f>
        <v>Taksa vendore në shërbimin hotelier</v>
      </c>
      <c r="C15" s="596"/>
      <c r="D15" s="598">
        <f>'(C2) Burimet viti kaluar'!D15</f>
        <v>513</v>
      </c>
      <c r="E15" s="598">
        <f>'(C2) Burimet viti kaluar'!E15</f>
        <v>272</v>
      </c>
      <c r="F15" s="598">
        <f>'(C2) Burimet viti kaluar'!F15</f>
        <v>3000</v>
      </c>
      <c r="G15" s="599"/>
      <c r="H15" s="599"/>
      <c r="I15" s="599"/>
      <c r="J15" s="599"/>
      <c r="K15" s="599"/>
      <c r="L15" s="599"/>
      <c r="M15" s="599"/>
      <c r="N15" s="600"/>
      <c r="O15" s="601">
        <f t="shared" si="37"/>
        <v>3000</v>
      </c>
      <c r="P15" s="599"/>
      <c r="Q15" s="599"/>
      <c r="R15" s="599"/>
      <c r="S15" s="599"/>
      <c r="T15" s="599"/>
      <c r="U15" s="599"/>
      <c r="V15" s="599"/>
      <c r="W15" s="600"/>
      <c r="X15" s="601">
        <f t="shared" si="38"/>
        <v>3000</v>
      </c>
      <c r="Y15" s="599"/>
      <c r="Z15" s="599"/>
      <c r="AA15" s="599"/>
      <c r="AB15" s="599"/>
      <c r="AC15" s="599"/>
      <c r="AD15" s="599"/>
      <c r="AE15" s="599"/>
      <c r="AF15" s="600"/>
      <c r="AG15" s="601">
        <f t="shared" si="39"/>
        <v>3000</v>
      </c>
      <c r="AI15" s="577" t="str">
        <f t="shared" si="24"/>
        <v>Taksa vendore në shërbimin hotelier</v>
      </c>
      <c r="AJ15" s="602"/>
      <c r="AK15" s="563">
        <f t="shared" si="25"/>
        <v>513</v>
      </c>
      <c r="AL15" s="563">
        <f t="shared" si="26"/>
        <v>272</v>
      </c>
      <c r="AM15" s="563">
        <f t="shared" si="27"/>
        <v>3000</v>
      </c>
      <c r="AN15" s="575" t="e">
        <f t="shared" ca="1" si="28"/>
        <v>#NAME?</v>
      </c>
      <c r="AO15" s="575" t="e">
        <f t="shared" ca="1" si="29"/>
        <v>#NAME?</v>
      </c>
      <c r="AP15" s="575" t="e">
        <f t="shared" ca="1" si="30"/>
        <v>#NAME?</v>
      </c>
      <c r="AQ15" s="575" t="e">
        <f t="shared" ca="1" si="31"/>
        <v>#NAME?</v>
      </c>
      <c r="AR15" s="575" t="e">
        <f t="shared" ca="1" si="32"/>
        <v>#NAME?</v>
      </c>
      <c r="AS15" s="575" t="e">
        <f t="shared" ca="1" si="33"/>
        <v>#NAME?</v>
      </c>
      <c r="AT15" s="735">
        <f>'(E1) Vlerësimi i burimeve'!O15</f>
        <v>3564</v>
      </c>
      <c r="AU15" s="736" t="e">
        <f t="shared" ca="1" si="20"/>
        <v>#NAME?</v>
      </c>
      <c r="AV15" s="735">
        <f>'(E1) Vlerësimi i burimeve'!X15</f>
        <v>3564</v>
      </c>
      <c r="AW15" s="736" t="e">
        <f t="shared" ca="1" si="21"/>
        <v>#NAME?</v>
      </c>
      <c r="AX15" s="735">
        <f>'(E1) Vlerësimi i burimeve'!AG15</f>
        <v>3564</v>
      </c>
      <c r="AY15" s="736" t="e">
        <f t="shared" ca="1" si="22"/>
        <v>#NAME?</v>
      </c>
      <c r="AZ15" s="575" t="e">
        <f t="shared" ca="1" si="34"/>
        <v>#NAME?</v>
      </c>
      <c r="BA15" s="575" t="e">
        <f t="shared" ca="1" si="35"/>
        <v>#NAME?</v>
      </c>
      <c r="BB15" s="575" t="e">
        <f t="shared" ca="1" si="36"/>
        <v>#NAME?</v>
      </c>
    </row>
    <row r="16" spans="1:54" s="594" customFormat="1" ht="15.75" thickBot="1" x14ac:dyDescent="0.3">
      <c r="A16" s="595" t="str">
        <f>'(C2) Burimet viti kaluar'!C16</f>
        <v>A.1.4</v>
      </c>
      <c r="B16" s="595" t="str">
        <f>'(G1) Fjalori'!A227</f>
        <v>Taksa e ndikimit në infrastrukturë nga ndërtimet e reja</v>
      </c>
      <c r="C16" s="596"/>
      <c r="D16" s="598">
        <f>'(C2) Burimet viti kaluar'!D16</f>
        <v>10952</v>
      </c>
      <c r="E16" s="598">
        <f>'(C2) Burimet viti kaluar'!E16</f>
        <v>10468</v>
      </c>
      <c r="F16" s="598">
        <f>'(C2) Burimet viti kaluar'!F16</f>
        <v>10000</v>
      </c>
      <c r="G16" s="599"/>
      <c r="H16" s="599"/>
      <c r="I16" s="599"/>
      <c r="J16" s="599"/>
      <c r="K16" s="599"/>
      <c r="L16" s="599"/>
      <c r="M16" s="599"/>
      <c r="N16" s="600"/>
      <c r="O16" s="601">
        <f t="shared" si="37"/>
        <v>10000</v>
      </c>
      <c r="P16" s="599"/>
      <c r="Q16" s="599"/>
      <c r="R16" s="599"/>
      <c r="S16" s="599"/>
      <c r="T16" s="599"/>
      <c r="U16" s="599"/>
      <c r="V16" s="599"/>
      <c r="W16" s="600"/>
      <c r="X16" s="601">
        <f t="shared" si="38"/>
        <v>10000</v>
      </c>
      <c r="Y16" s="599"/>
      <c r="Z16" s="599"/>
      <c r="AA16" s="599"/>
      <c r="AB16" s="599"/>
      <c r="AC16" s="599"/>
      <c r="AD16" s="599"/>
      <c r="AE16" s="599"/>
      <c r="AF16" s="600"/>
      <c r="AG16" s="601">
        <f t="shared" si="39"/>
        <v>10000</v>
      </c>
      <c r="AI16" s="577" t="str">
        <f t="shared" si="24"/>
        <v>Taksa e ndikimit në infrastrukturë nga ndërtimet e reja</v>
      </c>
      <c r="AJ16" s="602"/>
      <c r="AK16" s="563">
        <f t="shared" si="25"/>
        <v>10952</v>
      </c>
      <c r="AL16" s="563">
        <f t="shared" si="26"/>
        <v>10468</v>
      </c>
      <c r="AM16" s="563">
        <f t="shared" si="27"/>
        <v>10000</v>
      </c>
      <c r="AN16" s="575" t="e">
        <f t="shared" ca="1" si="28"/>
        <v>#NAME?</v>
      </c>
      <c r="AO16" s="575" t="e">
        <f t="shared" ca="1" si="29"/>
        <v>#NAME?</v>
      </c>
      <c r="AP16" s="575" t="e">
        <f t="shared" ca="1" si="30"/>
        <v>#NAME?</v>
      </c>
      <c r="AQ16" s="575" t="e">
        <f t="shared" ca="1" si="31"/>
        <v>#NAME?</v>
      </c>
      <c r="AR16" s="575" t="e">
        <f t="shared" ca="1" si="32"/>
        <v>#NAME?</v>
      </c>
      <c r="AS16" s="575" t="e">
        <f t="shared" ca="1" si="33"/>
        <v>#NAME?</v>
      </c>
      <c r="AT16" s="735">
        <f>'(E1) Vlerësimi i burimeve'!O16</f>
        <v>13000</v>
      </c>
      <c r="AU16" s="736" t="e">
        <f t="shared" ca="1" si="20"/>
        <v>#NAME?</v>
      </c>
      <c r="AV16" s="735">
        <f>'(E1) Vlerësimi i burimeve'!X16</f>
        <v>13000</v>
      </c>
      <c r="AW16" s="736" t="e">
        <f t="shared" ca="1" si="21"/>
        <v>#NAME?</v>
      </c>
      <c r="AX16" s="735">
        <f>'(E1) Vlerësimi i burimeve'!AG16</f>
        <v>13000</v>
      </c>
      <c r="AY16" s="736" t="e">
        <f t="shared" ca="1" si="22"/>
        <v>#NAME?</v>
      </c>
      <c r="AZ16" s="575" t="e">
        <f t="shared" ca="1" si="34"/>
        <v>#NAME?</v>
      </c>
      <c r="BA16" s="575" t="e">
        <f t="shared" ca="1" si="35"/>
        <v>#NAME?</v>
      </c>
      <c r="BB16" s="575" t="e">
        <f t="shared" ca="1" si="36"/>
        <v>#NAME?</v>
      </c>
    </row>
    <row r="17" spans="1:54" s="594" customFormat="1" ht="15.75" thickBot="1" x14ac:dyDescent="0.3">
      <c r="A17" s="595" t="str">
        <f>'(C2) Burimet viti kaluar'!C17</f>
        <v>A.1.5</v>
      </c>
      <c r="B17" s="595" t="str">
        <f>'(G1) Fjalori'!A228</f>
        <v>Taksa e tabelës</v>
      </c>
      <c r="C17" s="596"/>
      <c r="D17" s="598">
        <f>'(C2) Burimet viti kaluar'!D17</f>
        <v>751</v>
      </c>
      <c r="E17" s="598">
        <f>'(C2) Burimet viti kaluar'!E17</f>
        <v>1041</v>
      </c>
      <c r="F17" s="598">
        <f>'(C2) Burimet viti kaluar'!F17</f>
        <v>900</v>
      </c>
      <c r="G17" s="599"/>
      <c r="H17" s="599"/>
      <c r="I17" s="599"/>
      <c r="J17" s="599"/>
      <c r="K17" s="599"/>
      <c r="L17" s="599"/>
      <c r="M17" s="599"/>
      <c r="N17" s="600"/>
      <c r="O17" s="601">
        <f t="shared" si="37"/>
        <v>900</v>
      </c>
      <c r="P17" s="599"/>
      <c r="Q17" s="599"/>
      <c r="R17" s="599"/>
      <c r="S17" s="599"/>
      <c r="T17" s="599"/>
      <c r="U17" s="599"/>
      <c r="V17" s="599"/>
      <c r="W17" s="600"/>
      <c r="X17" s="601">
        <f t="shared" si="38"/>
        <v>900</v>
      </c>
      <c r="Y17" s="599"/>
      <c r="Z17" s="599"/>
      <c r="AA17" s="599"/>
      <c r="AB17" s="599"/>
      <c r="AC17" s="599"/>
      <c r="AD17" s="599"/>
      <c r="AE17" s="599"/>
      <c r="AF17" s="600"/>
      <c r="AG17" s="601">
        <f t="shared" si="39"/>
        <v>900</v>
      </c>
      <c r="AI17" s="577" t="str">
        <f t="shared" si="24"/>
        <v>Taksa e tabelës</v>
      </c>
      <c r="AJ17" s="602"/>
      <c r="AK17" s="563">
        <f t="shared" si="25"/>
        <v>751</v>
      </c>
      <c r="AL17" s="563">
        <f t="shared" si="26"/>
        <v>1041</v>
      </c>
      <c r="AM17" s="563">
        <f t="shared" si="27"/>
        <v>900</v>
      </c>
      <c r="AN17" s="575" t="e">
        <f t="shared" ca="1" si="28"/>
        <v>#NAME?</v>
      </c>
      <c r="AO17" s="575" t="e">
        <f t="shared" ca="1" si="29"/>
        <v>#NAME?</v>
      </c>
      <c r="AP17" s="575" t="e">
        <f t="shared" ca="1" si="30"/>
        <v>#NAME?</v>
      </c>
      <c r="AQ17" s="575" t="e">
        <f t="shared" ca="1" si="31"/>
        <v>#NAME?</v>
      </c>
      <c r="AR17" s="575" t="e">
        <f t="shared" ca="1" si="32"/>
        <v>#NAME?</v>
      </c>
      <c r="AS17" s="575" t="e">
        <f t="shared" ca="1" si="33"/>
        <v>#NAME?</v>
      </c>
      <c r="AT17" s="735">
        <f>'(E1) Vlerësimi i burimeve'!O17</f>
        <v>1026</v>
      </c>
      <c r="AU17" s="736" t="e">
        <f t="shared" ca="1" si="20"/>
        <v>#NAME?</v>
      </c>
      <c r="AV17" s="735">
        <f>'(E1) Vlerësimi i burimeve'!X17</f>
        <v>1026</v>
      </c>
      <c r="AW17" s="736" t="e">
        <f t="shared" ca="1" si="21"/>
        <v>#NAME?</v>
      </c>
      <c r="AX17" s="735">
        <f>'(E1) Vlerësimi i burimeve'!AG17</f>
        <v>1026</v>
      </c>
      <c r="AY17" s="736" t="e">
        <f t="shared" ca="1" si="22"/>
        <v>#NAME?</v>
      </c>
      <c r="AZ17" s="575" t="e">
        <f t="shared" ca="1" si="34"/>
        <v>#NAME?</v>
      </c>
      <c r="BA17" s="575" t="e">
        <f t="shared" ca="1" si="35"/>
        <v>#NAME?</v>
      </c>
      <c r="BB17" s="575" t="e">
        <f t="shared" ca="1" si="36"/>
        <v>#NAME?</v>
      </c>
    </row>
    <row r="18" spans="1:54" s="594" customFormat="1" ht="15.75" thickBot="1" x14ac:dyDescent="0.3">
      <c r="A18" s="595" t="str">
        <f>'(C2) Burimet viti kaluar'!C18</f>
        <v>A.1.6</v>
      </c>
      <c r="B18" s="595" t="str">
        <f>'(G1) Fjalori'!A229</f>
        <v>Taksa vendore mbi të ardhurat e krijuara nga dhuratat, trashëgimi, testament dhe llotaritë vendore</v>
      </c>
      <c r="C18" s="596"/>
      <c r="D18" s="598">
        <f>'(C2) Burimet viti kaluar'!D18</f>
        <v>0</v>
      </c>
      <c r="E18" s="598">
        <f>'(C2) Burimet viti kaluar'!E18</f>
        <v>0</v>
      </c>
      <c r="F18" s="598">
        <f>'(C2) Burimet viti kaluar'!F18</f>
        <v>0</v>
      </c>
      <c r="G18" s="599"/>
      <c r="H18" s="599"/>
      <c r="I18" s="599"/>
      <c r="J18" s="599"/>
      <c r="K18" s="599"/>
      <c r="L18" s="599"/>
      <c r="M18" s="599"/>
      <c r="N18" s="600"/>
      <c r="O18" s="601">
        <f t="shared" si="37"/>
        <v>0</v>
      </c>
      <c r="P18" s="599"/>
      <c r="Q18" s="599"/>
      <c r="R18" s="599"/>
      <c r="S18" s="599"/>
      <c r="T18" s="599"/>
      <c r="U18" s="599"/>
      <c r="V18" s="599"/>
      <c r="W18" s="600"/>
      <c r="X18" s="601">
        <f t="shared" si="38"/>
        <v>0</v>
      </c>
      <c r="Y18" s="599"/>
      <c r="Z18" s="599"/>
      <c r="AA18" s="599"/>
      <c r="AB18" s="599"/>
      <c r="AC18" s="599"/>
      <c r="AD18" s="599"/>
      <c r="AE18" s="599"/>
      <c r="AF18" s="600"/>
      <c r="AG18" s="601">
        <f t="shared" si="39"/>
        <v>0</v>
      </c>
      <c r="AI18" s="577" t="str">
        <f t="shared" si="24"/>
        <v>Taksa vendore mbi të ardhurat e krijuara nga dhuratat, trashëgimi, testament dhe llotaritë vendore</v>
      </c>
      <c r="AJ18" s="602"/>
      <c r="AK18" s="563">
        <f t="shared" si="25"/>
        <v>0</v>
      </c>
      <c r="AL18" s="563">
        <f t="shared" si="26"/>
        <v>0</v>
      </c>
      <c r="AM18" s="563">
        <f t="shared" si="27"/>
        <v>0</v>
      </c>
      <c r="AN18" s="575" t="e">
        <f t="shared" ca="1" si="28"/>
        <v>#NAME?</v>
      </c>
      <c r="AO18" s="575" t="e">
        <f t="shared" ca="1" si="29"/>
        <v>#NAME?</v>
      </c>
      <c r="AP18" s="575" t="e">
        <f t="shared" ca="1" si="30"/>
        <v>#NAME?</v>
      </c>
      <c r="AQ18" s="575" t="e">
        <f t="shared" ca="1" si="31"/>
        <v>#NAME?</v>
      </c>
      <c r="AR18" s="575" t="e">
        <f t="shared" ca="1" si="32"/>
        <v>#NAME?</v>
      </c>
      <c r="AS18" s="575" t="e">
        <f t="shared" ca="1" si="33"/>
        <v>#NAME?</v>
      </c>
      <c r="AT18" s="735">
        <f>'(E1) Vlerësimi i burimeve'!O18</f>
        <v>0</v>
      </c>
      <c r="AU18" s="736" t="e">
        <f t="shared" ca="1" si="20"/>
        <v>#NAME?</v>
      </c>
      <c r="AV18" s="735">
        <f>'(E1) Vlerësimi i burimeve'!X18</f>
        <v>0</v>
      </c>
      <c r="AW18" s="736" t="e">
        <f t="shared" ca="1" si="21"/>
        <v>#NAME?</v>
      </c>
      <c r="AX18" s="735">
        <f>'(E1) Vlerësimi i burimeve'!AG18</f>
        <v>0</v>
      </c>
      <c r="AY18" s="736" t="e">
        <f t="shared" ca="1" si="22"/>
        <v>#NAME?</v>
      </c>
      <c r="AZ18" s="575" t="e">
        <f t="shared" ca="1" si="34"/>
        <v>#NAME?</v>
      </c>
      <c r="BA18" s="575" t="e">
        <f t="shared" ca="1" si="35"/>
        <v>#NAME?</v>
      </c>
      <c r="BB18" s="575" t="e">
        <f t="shared" ca="1" si="36"/>
        <v>#NAME?</v>
      </c>
    </row>
    <row r="19" spans="1:54" s="594" customFormat="1" ht="15.75" thickBot="1" x14ac:dyDescent="0.3">
      <c r="A19" s="595" t="str">
        <f>'(C2) Burimet viti kaluar'!C19</f>
        <v>A.1.7</v>
      </c>
      <c r="B19" s="595" t="str">
        <f>'(G1) Fjalori'!A230</f>
        <v>Taksa e përkohëshme</v>
      </c>
      <c r="C19" s="726" t="str">
        <f>'(C2) Burimet viti kaluar'!B19</f>
        <v>aaa</v>
      </c>
      <c r="D19" s="598">
        <f>'(C2) Burimet viti kaluar'!D19</f>
        <v>0</v>
      </c>
      <c r="E19" s="598">
        <f>'(C2) Burimet viti kaluar'!E19</f>
        <v>0</v>
      </c>
      <c r="F19" s="598">
        <f>'(C2) Burimet viti kaluar'!F19</f>
        <v>0</v>
      </c>
      <c r="G19" s="599"/>
      <c r="H19" s="599"/>
      <c r="I19" s="599"/>
      <c r="J19" s="599"/>
      <c r="K19" s="599"/>
      <c r="L19" s="599"/>
      <c r="M19" s="599"/>
      <c r="N19" s="600"/>
      <c r="O19" s="601">
        <f t="shared" si="37"/>
        <v>0</v>
      </c>
      <c r="P19" s="599"/>
      <c r="Q19" s="599"/>
      <c r="R19" s="599"/>
      <c r="S19" s="599"/>
      <c r="T19" s="599"/>
      <c r="U19" s="599"/>
      <c r="V19" s="599"/>
      <c r="W19" s="600"/>
      <c r="X19" s="601">
        <f t="shared" si="38"/>
        <v>0</v>
      </c>
      <c r="Y19" s="599"/>
      <c r="Z19" s="599"/>
      <c r="AA19" s="599"/>
      <c r="AB19" s="599"/>
      <c r="AC19" s="599"/>
      <c r="AD19" s="599"/>
      <c r="AE19" s="599"/>
      <c r="AF19" s="600"/>
      <c r="AG19" s="601">
        <f t="shared" si="39"/>
        <v>0</v>
      </c>
      <c r="AI19" s="577" t="str">
        <f t="shared" si="24"/>
        <v>Taksa e përkohëshme</v>
      </c>
      <c r="AJ19" s="602"/>
      <c r="AK19" s="563">
        <f t="shared" si="25"/>
        <v>0</v>
      </c>
      <c r="AL19" s="563">
        <f t="shared" si="26"/>
        <v>0</v>
      </c>
      <c r="AM19" s="563">
        <f t="shared" si="27"/>
        <v>0</v>
      </c>
      <c r="AN19" s="575" t="e">
        <f t="shared" ca="1" si="28"/>
        <v>#NAME?</v>
      </c>
      <c r="AO19" s="575" t="e">
        <f t="shared" ca="1" si="29"/>
        <v>#NAME?</v>
      </c>
      <c r="AP19" s="575" t="e">
        <f t="shared" ca="1" si="30"/>
        <v>#NAME?</v>
      </c>
      <c r="AQ19" s="575" t="e">
        <f t="shared" ca="1" si="31"/>
        <v>#NAME?</v>
      </c>
      <c r="AR19" s="575" t="e">
        <f t="shared" ca="1" si="32"/>
        <v>#NAME?</v>
      </c>
      <c r="AS19" s="575" t="e">
        <f t="shared" ca="1" si="33"/>
        <v>#NAME?</v>
      </c>
      <c r="AT19" s="735">
        <f>'(E1) Vlerësimi i burimeve'!O19</f>
        <v>0</v>
      </c>
      <c r="AU19" s="736" t="e">
        <f t="shared" ca="1" si="20"/>
        <v>#NAME?</v>
      </c>
      <c r="AV19" s="735">
        <f>'(E1) Vlerësimi i burimeve'!X19</f>
        <v>0</v>
      </c>
      <c r="AW19" s="736" t="e">
        <f t="shared" ca="1" si="21"/>
        <v>#NAME?</v>
      </c>
      <c r="AX19" s="735">
        <f>'(E1) Vlerësimi i burimeve'!AG19</f>
        <v>0</v>
      </c>
      <c r="AY19" s="736" t="e">
        <f t="shared" ca="1" si="22"/>
        <v>#NAME?</v>
      </c>
      <c r="AZ19" s="575" t="e">
        <f t="shared" ca="1" si="34"/>
        <v>#NAME?</v>
      </c>
      <c r="BA19" s="575" t="e">
        <f t="shared" ca="1" si="35"/>
        <v>#NAME?</v>
      </c>
      <c r="BB19" s="575" t="e">
        <f t="shared" ca="1" si="36"/>
        <v>#NAME?</v>
      </c>
    </row>
    <row r="20" spans="1:54" s="594" customFormat="1" ht="15.75" thickBot="1" x14ac:dyDescent="0.3">
      <c r="A20" s="595" t="str">
        <f>'(C2) Burimet viti kaluar'!C20</f>
        <v>A.1.8</v>
      </c>
      <c r="B20" s="595" t="str">
        <f>'(G1) Fjalori'!A231</f>
        <v>Taksa e përkohëshme 1</v>
      </c>
      <c r="C20" s="726" t="str">
        <f>'(C2) Burimet viti kaluar'!B20</f>
        <v>bbb</v>
      </c>
      <c r="D20" s="598">
        <f>'(C2) Burimet viti kaluar'!D20</f>
        <v>0</v>
      </c>
      <c r="E20" s="598">
        <f>'(C2) Burimet viti kaluar'!E20</f>
        <v>0</v>
      </c>
      <c r="F20" s="598">
        <f>'(C2) Burimet viti kaluar'!F20</f>
        <v>0</v>
      </c>
      <c r="G20" s="599"/>
      <c r="H20" s="599"/>
      <c r="I20" s="599"/>
      <c r="J20" s="599"/>
      <c r="K20" s="599"/>
      <c r="L20" s="599"/>
      <c r="M20" s="599"/>
      <c r="N20" s="600"/>
      <c r="O20" s="601">
        <f t="shared" si="37"/>
        <v>0</v>
      </c>
      <c r="P20" s="599"/>
      <c r="Q20" s="599"/>
      <c r="R20" s="599"/>
      <c r="S20" s="599"/>
      <c r="T20" s="599"/>
      <c r="U20" s="599"/>
      <c r="V20" s="599"/>
      <c r="W20" s="600"/>
      <c r="X20" s="601">
        <f t="shared" si="38"/>
        <v>0</v>
      </c>
      <c r="Y20" s="599"/>
      <c r="Z20" s="599"/>
      <c r="AA20" s="599"/>
      <c r="AB20" s="599"/>
      <c r="AC20" s="599"/>
      <c r="AD20" s="599"/>
      <c r="AE20" s="599"/>
      <c r="AF20" s="600"/>
      <c r="AG20" s="601">
        <f t="shared" si="39"/>
        <v>0</v>
      </c>
      <c r="AI20" s="577" t="str">
        <f t="shared" si="24"/>
        <v>Taksa e përkohëshme 1</v>
      </c>
      <c r="AJ20" s="602"/>
      <c r="AK20" s="563">
        <f t="shared" si="25"/>
        <v>0</v>
      </c>
      <c r="AL20" s="563">
        <f t="shared" si="26"/>
        <v>0</v>
      </c>
      <c r="AM20" s="563">
        <f t="shared" si="27"/>
        <v>0</v>
      </c>
      <c r="AN20" s="575" t="e">
        <f t="shared" ca="1" si="28"/>
        <v>#NAME?</v>
      </c>
      <c r="AO20" s="575" t="e">
        <f t="shared" ca="1" si="29"/>
        <v>#NAME?</v>
      </c>
      <c r="AP20" s="575" t="e">
        <f t="shared" ca="1" si="30"/>
        <v>#NAME?</v>
      </c>
      <c r="AQ20" s="575" t="e">
        <f t="shared" ca="1" si="31"/>
        <v>#NAME?</v>
      </c>
      <c r="AR20" s="575" t="e">
        <f t="shared" ca="1" si="32"/>
        <v>#NAME?</v>
      </c>
      <c r="AS20" s="575" t="e">
        <f t="shared" ca="1" si="33"/>
        <v>#NAME?</v>
      </c>
      <c r="AT20" s="735">
        <f>'(E1) Vlerësimi i burimeve'!O20</f>
        <v>0</v>
      </c>
      <c r="AU20" s="736" t="e">
        <f t="shared" ca="1" si="20"/>
        <v>#NAME?</v>
      </c>
      <c r="AV20" s="735">
        <f>'(E1) Vlerësimi i burimeve'!X20</f>
        <v>0</v>
      </c>
      <c r="AW20" s="736" t="e">
        <f t="shared" ca="1" si="21"/>
        <v>#NAME?</v>
      </c>
      <c r="AX20" s="735">
        <f>'(E1) Vlerësimi i burimeve'!AG20</f>
        <v>0</v>
      </c>
      <c r="AY20" s="736" t="e">
        <f t="shared" ca="1" si="22"/>
        <v>#NAME?</v>
      </c>
      <c r="AZ20" s="575" t="e">
        <f t="shared" ca="1" si="34"/>
        <v>#NAME?</v>
      </c>
      <c r="BA20" s="575" t="e">
        <f t="shared" ca="1" si="35"/>
        <v>#NAME?</v>
      </c>
      <c r="BB20" s="575" t="e">
        <f t="shared" ca="1" si="36"/>
        <v>#NAME?</v>
      </c>
    </row>
    <row r="21" spans="1:54" s="594" customFormat="1" ht="15.75" thickBot="1" x14ac:dyDescent="0.3">
      <c r="A21" s="595" t="str">
        <f>'(C2) Burimet viti kaluar'!C21</f>
        <v>A.1.9</v>
      </c>
      <c r="B21" s="595" t="str">
        <f>'(G1) Fjalori'!A232</f>
        <v>Taksa e përkohëshme 2</v>
      </c>
      <c r="C21" s="726" t="str">
        <f>'(C2) Burimet viti kaluar'!B21</f>
        <v>ccc</v>
      </c>
      <c r="D21" s="598">
        <f>'(C2) Burimet viti kaluar'!D21</f>
        <v>0</v>
      </c>
      <c r="E21" s="598">
        <f>'(C2) Burimet viti kaluar'!E21</f>
        <v>0</v>
      </c>
      <c r="F21" s="598">
        <f>'(C2) Burimet viti kaluar'!F21</f>
        <v>0</v>
      </c>
      <c r="G21" s="599"/>
      <c r="H21" s="599"/>
      <c r="I21" s="599"/>
      <c r="J21" s="599"/>
      <c r="K21" s="599"/>
      <c r="L21" s="599"/>
      <c r="M21" s="599"/>
      <c r="N21" s="600"/>
      <c r="O21" s="601">
        <f t="shared" si="37"/>
        <v>0</v>
      </c>
      <c r="P21" s="599"/>
      <c r="Q21" s="599"/>
      <c r="R21" s="599"/>
      <c r="S21" s="599"/>
      <c r="T21" s="599"/>
      <c r="U21" s="599"/>
      <c r="V21" s="599"/>
      <c r="W21" s="600"/>
      <c r="X21" s="601">
        <f t="shared" si="38"/>
        <v>0</v>
      </c>
      <c r="Y21" s="599"/>
      <c r="Z21" s="599"/>
      <c r="AA21" s="599"/>
      <c r="AB21" s="599"/>
      <c r="AC21" s="599"/>
      <c r="AD21" s="599"/>
      <c r="AE21" s="599"/>
      <c r="AF21" s="600"/>
      <c r="AG21" s="601">
        <f t="shared" si="39"/>
        <v>0</v>
      </c>
      <c r="AI21" s="577" t="str">
        <f t="shared" si="24"/>
        <v>Taksa e përkohëshme 2</v>
      </c>
      <c r="AJ21" s="602"/>
      <c r="AK21" s="563">
        <f t="shared" si="25"/>
        <v>0</v>
      </c>
      <c r="AL21" s="563">
        <f t="shared" si="26"/>
        <v>0</v>
      </c>
      <c r="AM21" s="563">
        <f t="shared" si="27"/>
        <v>0</v>
      </c>
      <c r="AN21" s="575" t="e">
        <f t="shared" ca="1" si="28"/>
        <v>#NAME?</v>
      </c>
      <c r="AO21" s="575" t="e">
        <f t="shared" ca="1" si="29"/>
        <v>#NAME?</v>
      </c>
      <c r="AP21" s="575" t="e">
        <f t="shared" ca="1" si="30"/>
        <v>#NAME?</v>
      </c>
      <c r="AQ21" s="575" t="e">
        <f t="shared" ca="1" si="31"/>
        <v>#NAME?</v>
      </c>
      <c r="AR21" s="575" t="e">
        <f t="shared" ca="1" si="32"/>
        <v>#NAME?</v>
      </c>
      <c r="AS21" s="575" t="e">
        <f t="shared" ca="1" si="33"/>
        <v>#NAME?</v>
      </c>
      <c r="AT21" s="735">
        <f>'(E1) Vlerësimi i burimeve'!O21</f>
        <v>0</v>
      </c>
      <c r="AU21" s="736" t="e">
        <f t="shared" ca="1" si="20"/>
        <v>#NAME?</v>
      </c>
      <c r="AV21" s="735">
        <f>'(E1) Vlerësimi i burimeve'!X21</f>
        <v>0</v>
      </c>
      <c r="AW21" s="736" t="e">
        <f t="shared" ca="1" si="21"/>
        <v>#NAME?</v>
      </c>
      <c r="AX21" s="735">
        <f>'(E1) Vlerësimi i burimeve'!AG21</f>
        <v>0</v>
      </c>
      <c r="AY21" s="736" t="e">
        <f t="shared" ca="1" si="22"/>
        <v>#NAME?</v>
      </c>
      <c r="AZ21" s="575" t="e">
        <f t="shared" ca="1" si="34"/>
        <v>#NAME?</v>
      </c>
      <c r="BA21" s="575" t="e">
        <f t="shared" ca="1" si="35"/>
        <v>#NAME?</v>
      </c>
      <c r="BB21" s="575" t="e">
        <f t="shared" ca="1" si="36"/>
        <v>#NAME?</v>
      </c>
    </row>
    <row r="22" spans="1:54" s="576" customFormat="1" ht="15.75" thickBot="1" x14ac:dyDescent="0.3">
      <c r="A22" s="591" t="str">
        <f>'(C2) Burimet viti kaluar'!C28</f>
        <v>A.3</v>
      </c>
      <c r="B22" s="929" t="str">
        <f>'(G1) Fjalori'!A239</f>
        <v>TË ARDHURA NGA TARIFA VENDORE</v>
      </c>
      <c r="C22" s="930"/>
      <c r="D22" s="592">
        <f>'(C2) Burimet viti kaluar'!D28</f>
        <v>59035</v>
      </c>
      <c r="E22" s="592">
        <f>'(C2) Burimet viti kaluar'!E28</f>
        <v>40682</v>
      </c>
      <c r="F22" s="592">
        <f>'(C2) Burimet viti kaluar'!F28</f>
        <v>83164</v>
      </c>
      <c r="G22" s="637"/>
      <c r="H22" s="637"/>
      <c r="I22" s="637"/>
      <c r="J22" s="637"/>
      <c r="K22" s="637"/>
      <c r="L22" s="637"/>
      <c r="M22" s="637"/>
      <c r="N22" s="637"/>
      <c r="O22" s="592">
        <f>SUM(O23:O63)-O50-O36-O32-O28-O23</f>
        <v>85779</v>
      </c>
      <c r="P22" s="637"/>
      <c r="Q22" s="637"/>
      <c r="R22" s="637"/>
      <c r="S22" s="637"/>
      <c r="T22" s="637"/>
      <c r="U22" s="637"/>
      <c r="V22" s="637"/>
      <c r="W22" s="637"/>
      <c r="X22" s="593">
        <f>SUM(X23:X63)-X50-X36-X32-X28-X23</f>
        <v>87737.25</v>
      </c>
      <c r="Y22" s="638"/>
      <c r="Z22" s="637"/>
      <c r="AA22" s="637"/>
      <c r="AB22" s="637"/>
      <c r="AC22" s="637"/>
      <c r="AD22" s="637"/>
      <c r="AE22" s="637"/>
      <c r="AF22" s="637"/>
      <c r="AG22" s="592">
        <f>SUM(AG23:AG63)-AG50-AG36-AG32-AG28-AG23</f>
        <v>90387.412500000006</v>
      </c>
      <c r="AH22" s="639"/>
      <c r="AI22" s="645" t="str">
        <f t="shared" si="24"/>
        <v>TË ARDHURA NGA TARIFA VENDORE</v>
      </c>
      <c r="AJ22" s="646"/>
      <c r="AK22" s="641">
        <f t="shared" si="25"/>
        <v>59035</v>
      </c>
      <c r="AL22" s="641">
        <f t="shared" si="26"/>
        <v>40682</v>
      </c>
      <c r="AM22" s="641">
        <f t="shared" si="27"/>
        <v>83164</v>
      </c>
      <c r="AN22" s="642" t="e">
        <f t="shared" ca="1" si="28"/>
        <v>#NAME?</v>
      </c>
      <c r="AO22" s="642" t="e">
        <f t="shared" ca="1" si="29"/>
        <v>#NAME?</v>
      </c>
      <c r="AP22" s="642" t="e">
        <f t="shared" ca="1" si="30"/>
        <v>#NAME?</v>
      </c>
      <c r="AQ22" s="642" t="e">
        <f t="shared" ca="1" si="31"/>
        <v>#NAME?</v>
      </c>
      <c r="AR22" s="642" t="e">
        <f t="shared" ca="1" si="32"/>
        <v>#NAME?</v>
      </c>
      <c r="AS22" s="642" t="e">
        <f t="shared" ca="1" si="33"/>
        <v>#NAME?</v>
      </c>
      <c r="AT22" s="733">
        <f>'(E1) Vlerësimi i burimeve'!O31</f>
        <v>84779.7</v>
      </c>
      <c r="AU22" s="734" t="e">
        <f t="shared" ca="1" si="20"/>
        <v>#NAME?</v>
      </c>
      <c r="AV22" s="733">
        <f>'(E1) Vlerësimi i burimeve'!X31</f>
        <v>84779.7</v>
      </c>
      <c r="AW22" s="734" t="e">
        <f t="shared" ca="1" si="21"/>
        <v>#NAME?</v>
      </c>
      <c r="AX22" s="733">
        <f>'(E1) Vlerësimi i burimeve'!AG31</f>
        <v>84779.7</v>
      </c>
      <c r="AY22" s="734" t="e">
        <f t="shared" ca="1" si="22"/>
        <v>#NAME?</v>
      </c>
      <c r="AZ22" s="642" t="e">
        <f t="shared" ca="1" si="34"/>
        <v>#NAME?</v>
      </c>
      <c r="BA22" s="642" t="e">
        <f t="shared" ca="1" si="35"/>
        <v>#NAME?</v>
      </c>
      <c r="BB22" s="642" t="e">
        <f t="shared" ca="1" si="36"/>
        <v>#NAME?</v>
      </c>
    </row>
    <row r="23" spans="1:54" s="594" customFormat="1" ht="15.75" thickBot="1" x14ac:dyDescent="0.3">
      <c r="A23" s="595" t="str">
        <f>'(C2) Burimet viti kaluar'!C29</f>
        <v>A.3.1</v>
      </c>
      <c r="B23" s="607" t="str">
        <f>'(G1) Fjalori'!A240</f>
        <v>Tarifa me menaxhimit te mbetjeve</v>
      </c>
      <c r="C23" s="727"/>
      <c r="D23" s="605">
        <f>'(C2) Burimet viti kaluar'!D29</f>
        <v>12415</v>
      </c>
      <c r="E23" s="605">
        <f>'(C2) Burimet viti kaluar'!E29</f>
        <v>15159</v>
      </c>
      <c r="F23" s="605">
        <f>'(C2) Burimet viti kaluar'!F29</f>
        <v>19050</v>
      </c>
      <c r="G23" s="605"/>
      <c r="H23" s="608"/>
      <c r="I23" s="608"/>
      <c r="J23" s="608"/>
      <c r="K23" s="608"/>
      <c r="L23" s="608"/>
      <c r="M23" s="608"/>
      <c r="N23" s="609"/>
      <c r="O23" s="608">
        <f>SUM(O24:O26)</f>
        <v>20065</v>
      </c>
      <c r="P23" s="605"/>
      <c r="Q23" s="608"/>
      <c r="R23" s="608"/>
      <c r="S23" s="608"/>
      <c r="T23" s="608"/>
      <c r="U23" s="608"/>
      <c r="V23" s="608"/>
      <c r="W23" s="609"/>
      <c r="X23" s="608">
        <f>SUM(X24:X26)</f>
        <v>21923.25</v>
      </c>
      <c r="Y23" s="605"/>
      <c r="Z23" s="608"/>
      <c r="AA23" s="608"/>
      <c r="AB23" s="608"/>
      <c r="AC23" s="608"/>
      <c r="AD23" s="608"/>
      <c r="AE23" s="608"/>
      <c r="AF23" s="609"/>
      <c r="AG23" s="609">
        <f>SUM(AG24:AG26)</f>
        <v>24069.412499999999</v>
      </c>
      <c r="AI23" s="577" t="str">
        <f t="shared" si="24"/>
        <v>Tarifa me menaxhimit te mbetjeve</v>
      </c>
      <c r="AJ23" s="602"/>
      <c r="AK23" s="563">
        <f t="shared" si="25"/>
        <v>12415</v>
      </c>
      <c r="AL23" s="563">
        <f t="shared" si="26"/>
        <v>15159</v>
      </c>
      <c r="AM23" s="563">
        <f t="shared" si="27"/>
        <v>19050</v>
      </c>
      <c r="AN23" s="575" t="e">
        <f t="shared" ca="1" si="28"/>
        <v>#NAME?</v>
      </c>
      <c r="AO23" s="575" t="e">
        <f t="shared" ca="1" si="29"/>
        <v>#NAME?</v>
      </c>
      <c r="AP23" s="575" t="e">
        <f t="shared" ca="1" si="30"/>
        <v>#NAME?</v>
      </c>
      <c r="AQ23" s="575" t="e">
        <f t="shared" ca="1" si="31"/>
        <v>#NAME?</v>
      </c>
      <c r="AR23" s="575" t="e">
        <f t="shared" ca="1" si="32"/>
        <v>#NAME?</v>
      </c>
      <c r="AS23" s="575" t="e">
        <f t="shared" ca="1" si="33"/>
        <v>#NAME?</v>
      </c>
      <c r="AT23" s="735">
        <f>'(E1) Vlerësimi i burimeve'!O32</f>
        <v>19253</v>
      </c>
      <c r="AU23" s="736" t="e">
        <f t="shared" ca="1" si="20"/>
        <v>#NAME?</v>
      </c>
      <c r="AV23" s="735">
        <f>'(E1) Vlerësimi i burimeve'!X32</f>
        <v>19253</v>
      </c>
      <c r="AW23" s="736" t="e">
        <f t="shared" ca="1" si="21"/>
        <v>#NAME?</v>
      </c>
      <c r="AX23" s="735">
        <f>'(E1) Vlerësimi i burimeve'!AG32</f>
        <v>19253</v>
      </c>
      <c r="AY23" s="736" t="e">
        <f t="shared" ca="1" si="22"/>
        <v>#NAME?</v>
      </c>
      <c r="AZ23" s="575" t="e">
        <f t="shared" ca="1" si="34"/>
        <v>#NAME?</v>
      </c>
      <c r="BA23" s="575" t="e">
        <f t="shared" ca="1" si="35"/>
        <v>#NAME?</v>
      </c>
      <c r="BB23" s="575" t="e">
        <f t="shared" ca="1" si="36"/>
        <v>#NAME?</v>
      </c>
    </row>
    <row r="24" spans="1:54" s="576" customFormat="1" ht="15.75" thickBot="1" x14ac:dyDescent="0.3">
      <c r="A24" s="605" t="str">
        <f>'(C2) Burimet viti kaluar'!C30</f>
        <v>A.3.1.1</v>
      </c>
      <c r="B24" s="927" t="str">
        <f>'(G1) Fjalori'!A241</f>
        <v>Tarifa e pastrimit për familjet</v>
      </c>
      <c r="C24" s="928"/>
      <c r="D24" s="598">
        <f>'(C2) Burimet viti kaluar'!D30</f>
        <v>1310</v>
      </c>
      <c r="E24" s="598">
        <f>'(C2) Burimet viti kaluar'!E30</f>
        <v>3044</v>
      </c>
      <c r="F24" s="598">
        <f>'(C2) Burimet viti kaluar'!F30</f>
        <v>6500</v>
      </c>
      <c r="G24" s="925"/>
      <c r="H24" s="926"/>
      <c r="I24" s="599"/>
      <c r="J24" s="599"/>
      <c r="K24" s="599"/>
      <c r="L24" s="599"/>
      <c r="M24" s="599"/>
      <c r="N24" s="600">
        <v>4000</v>
      </c>
      <c r="O24" s="601">
        <f>IF(F24&lt;&gt;0,F24*(1+(SUM(I24:M24))),N24)</f>
        <v>6500</v>
      </c>
      <c r="P24" s="925"/>
      <c r="Q24" s="926"/>
      <c r="R24" s="599"/>
      <c r="S24" s="599"/>
      <c r="T24" s="599">
        <v>0.2</v>
      </c>
      <c r="U24" s="599"/>
      <c r="V24" s="599"/>
      <c r="W24" s="600"/>
      <c r="X24" s="601">
        <f t="shared" ref="X24:X27" si="40">IF(O24&lt;&gt;0,O24*(1+(SUM(R24:V24))),W24)</f>
        <v>7800</v>
      </c>
      <c r="Y24" s="925"/>
      <c r="Z24" s="926"/>
      <c r="AA24" s="599"/>
      <c r="AB24" s="599"/>
      <c r="AC24" s="599">
        <v>0.2</v>
      </c>
      <c r="AD24" s="599"/>
      <c r="AE24" s="599"/>
      <c r="AF24" s="600"/>
      <c r="AG24" s="601">
        <f t="shared" ref="AG24:AG27" si="41">IF(X24&lt;&gt;0,X24*(1+(SUM(AA24:AE24))),AF24)</f>
        <v>9360</v>
      </c>
      <c r="AI24" s="577" t="str">
        <f t="shared" si="24"/>
        <v>Tarifa e pastrimit për familjet</v>
      </c>
      <c r="AJ24" s="602"/>
      <c r="AK24" s="563">
        <f t="shared" si="25"/>
        <v>1310</v>
      </c>
      <c r="AL24" s="563">
        <f t="shared" si="26"/>
        <v>3044</v>
      </c>
      <c r="AM24" s="563">
        <f t="shared" si="27"/>
        <v>6500</v>
      </c>
      <c r="AN24" s="575" t="e">
        <f t="shared" ca="1" si="28"/>
        <v>#NAME?</v>
      </c>
      <c r="AO24" s="575" t="e">
        <f t="shared" ca="1" si="29"/>
        <v>#NAME?</v>
      </c>
      <c r="AP24" s="575" t="e">
        <f t="shared" ca="1" si="30"/>
        <v>#NAME?</v>
      </c>
      <c r="AQ24" s="575" t="e">
        <f t="shared" ca="1" si="31"/>
        <v>#NAME?</v>
      </c>
      <c r="AR24" s="575" t="e">
        <f t="shared" ca="1" si="32"/>
        <v>#NAME?</v>
      </c>
      <c r="AS24" s="575" t="e">
        <f t="shared" ca="1" si="33"/>
        <v>#NAME?</v>
      </c>
      <c r="AT24" s="735">
        <f>'(E1) Vlerësimi i burimeve'!O33</f>
        <v>6500</v>
      </c>
      <c r="AU24" s="736" t="e">
        <f t="shared" ca="1" si="20"/>
        <v>#NAME?</v>
      </c>
      <c r="AV24" s="735">
        <f>'(E1) Vlerësimi i burimeve'!X33</f>
        <v>6500</v>
      </c>
      <c r="AW24" s="736" t="e">
        <f t="shared" ca="1" si="21"/>
        <v>#NAME?</v>
      </c>
      <c r="AX24" s="735">
        <f>'(E1) Vlerësimi i burimeve'!AG33</f>
        <v>6500</v>
      </c>
      <c r="AY24" s="736" t="e">
        <f t="shared" ca="1" si="22"/>
        <v>#NAME?</v>
      </c>
      <c r="AZ24" s="575" t="e">
        <f t="shared" ca="1" si="34"/>
        <v>#NAME?</v>
      </c>
      <c r="BA24" s="575" t="e">
        <f t="shared" ca="1" si="35"/>
        <v>#NAME?</v>
      </c>
      <c r="BB24" s="575" t="e">
        <f t="shared" ca="1" si="36"/>
        <v>#NAME?</v>
      </c>
    </row>
    <row r="25" spans="1:54" s="576" customFormat="1" ht="15.75" thickBot="1" x14ac:dyDescent="0.3">
      <c r="A25" s="605" t="str">
        <f>'(C2) Burimet viti kaluar'!C31</f>
        <v>A.3.1.2</v>
      </c>
      <c r="B25" s="927" t="str">
        <f>'(G1) Fjalori'!A242</f>
        <v>Tarifa e pastrimit për institucionet</v>
      </c>
      <c r="C25" s="928"/>
      <c r="D25" s="598">
        <f>'(C2) Burimet viti kaluar'!D31</f>
        <v>1915</v>
      </c>
      <c r="E25" s="598">
        <f>'(C2) Burimet viti kaluar'!E31</f>
        <v>1980</v>
      </c>
      <c r="F25" s="598">
        <f>'(C2) Burimet viti kaluar'!F31</f>
        <v>2400</v>
      </c>
      <c r="G25" s="925"/>
      <c r="H25" s="926"/>
      <c r="I25" s="599"/>
      <c r="J25" s="599"/>
      <c r="K25" s="599"/>
      <c r="L25" s="599"/>
      <c r="M25" s="599"/>
      <c r="N25" s="600"/>
      <c r="O25" s="601">
        <f t="shared" ref="O25:O27" si="42">IF(F25&lt;&gt;0,F25*(1+(SUM(I25:M25))),N25)</f>
        <v>2400</v>
      </c>
      <c r="P25" s="925"/>
      <c r="Q25" s="926"/>
      <c r="R25" s="599"/>
      <c r="S25" s="599"/>
      <c r="T25" s="599"/>
      <c r="U25" s="599"/>
      <c r="V25" s="599"/>
      <c r="W25" s="600"/>
      <c r="X25" s="601">
        <f t="shared" si="40"/>
        <v>2400</v>
      </c>
      <c r="Y25" s="925"/>
      <c r="Z25" s="926"/>
      <c r="AA25" s="599"/>
      <c r="AB25" s="599"/>
      <c r="AC25" s="599"/>
      <c r="AD25" s="599"/>
      <c r="AE25" s="599"/>
      <c r="AF25" s="600"/>
      <c r="AG25" s="601">
        <f t="shared" si="41"/>
        <v>2400</v>
      </c>
      <c r="AI25" s="577" t="str">
        <f t="shared" si="24"/>
        <v>Tarifa e pastrimit për institucionet</v>
      </c>
      <c r="AJ25" s="602"/>
      <c r="AK25" s="563">
        <f t="shared" si="25"/>
        <v>1915</v>
      </c>
      <c r="AL25" s="563">
        <f t="shared" si="26"/>
        <v>1980</v>
      </c>
      <c r="AM25" s="563">
        <f t="shared" si="27"/>
        <v>2400</v>
      </c>
      <c r="AN25" s="575" t="e">
        <f t="shared" ca="1" si="28"/>
        <v>#NAME?</v>
      </c>
      <c r="AO25" s="575" t="e">
        <f t="shared" ca="1" si="29"/>
        <v>#NAME?</v>
      </c>
      <c r="AP25" s="575" t="e">
        <f t="shared" ca="1" si="30"/>
        <v>#NAME?</v>
      </c>
      <c r="AQ25" s="575" t="e">
        <f t="shared" ca="1" si="31"/>
        <v>#NAME?</v>
      </c>
      <c r="AR25" s="575" t="e">
        <f t="shared" ca="1" si="32"/>
        <v>#NAME?</v>
      </c>
      <c r="AS25" s="575" t="e">
        <f t="shared" ca="1" si="33"/>
        <v>#NAME?</v>
      </c>
      <c r="AT25" s="735">
        <f>'(E1) Vlerësimi i burimeve'!O34</f>
        <v>2400</v>
      </c>
      <c r="AU25" s="736" t="e">
        <f t="shared" ca="1" si="20"/>
        <v>#NAME?</v>
      </c>
      <c r="AV25" s="735">
        <f>'(E1) Vlerësimi i burimeve'!X34</f>
        <v>2400</v>
      </c>
      <c r="AW25" s="736" t="e">
        <f t="shared" ca="1" si="21"/>
        <v>#NAME?</v>
      </c>
      <c r="AX25" s="735">
        <f>'(E1) Vlerësimi i burimeve'!AG34</f>
        <v>2400</v>
      </c>
      <c r="AY25" s="736" t="e">
        <f t="shared" ca="1" si="22"/>
        <v>#NAME?</v>
      </c>
      <c r="AZ25" s="575" t="e">
        <f t="shared" ca="1" si="34"/>
        <v>#NAME?</v>
      </c>
      <c r="BA25" s="575" t="e">
        <f t="shared" ca="1" si="35"/>
        <v>#NAME?</v>
      </c>
      <c r="BB25" s="575" t="e">
        <f t="shared" ca="1" si="36"/>
        <v>#NAME?</v>
      </c>
    </row>
    <row r="26" spans="1:54" s="576" customFormat="1" ht="15.75" thickBot="1" x14ac:dyDescent="0.3">
      <c r="A26" s="605" t="str">
        <f>'(C2) Burimet viti kaluar'!C32</f>
        <v>A.3.1.3</v>
      </c>
      <c r="B26" s="927" t="str">
        <f>'(G1) Fjalori'!A243</f>
        <v>Tarifa e pastrimit për biznesin</v>
      </c>
      <c r="C26" s="928"/>
      <c r="D26" s="598">
        <f>'(C2) Burimet viti kaluar'!D32</f>
        <v>9190</v>
      </c>
      <c r="E26" s="598">
        <f>'(C2) Burimet viti kaluar'!E32</f>
        <v>10135</v>
      </c>
      <c r="F26" s="598">
        <f>'(C2) Burimet viti kaluar'!F32</f>
        <v>10150</v>
      </c>
      <c r="G26" s="925"/>
      <c r="H26" s="926"/>
      <c r="I26" s="599">
        <v>0.1</v>
      </c>
      <c r="J26" s="599"/>
      <c r="K26" s="599"/>
      <c r="L26" s="599"/>
      <c r="M26" s="599"/>
      <c r="N26" s="600"/>
      <c r="O26" s="601">
        <f t="shared" si="42"/>
        <v>11165</v>
      </c>
      <c r="P26" s="925"/>
      <c r="Q26" s="926"/>
      <c r="R26" s="599"/>
      <c r="S26" s="599"/>
      <c r="T26" s="599">
        <v>0.05</v>
      </c>
      <c r="U26" s="599"/>
      <c r="V26" s="599"/>
      <c r="W26" s="600"/>
      <c r="X26" s="601">
        <f t="shared" si="40"/>
        <v>11723.25</v>
      </c>
      <c r="Y26" s="925"/>
      <c r="Z26" s="926"/>
      <c r="AA26" s="599"/>
      <c r="AB26" s="599"/>
      <c r="AC26" s="599">
        <v>0.05</v>
      </c>
      <c r="AD26" s="599"/>
      <c r="AE26" s="599"/>
      <c r="AF26" s="600"/>
      <c r="AG26" s="601">
        <f t="shared" si="41"/>
        <v>12309.4125</v>
      </c>
      <c r="AI26" s="577" t="str">
        <f t="shared" si="24"/>
        <v>Tarifa e pastrimit për biznesin</v>
      </c>
      <c r="AJ26" s="602"/>
      <c r="AK26" s="563">
        <f t="shared" si="25"/>
        <v>9190</v>
      </c>
      <c r="AL26" s="563">
        <f t="shared" si="26"/>
        <v>10135</v>
      </c>
      <c r="AM26" s="563">
        <f t="shared" si="27"/>
        <v>10150</v>
      </c>
      <c r="AN26" s="575" t="e">
        <f t="shared" ca="1" si="28"/>
        <v>#NAME?</v>
      </c>
      <c r="AO26" s="575" t="e">
        <f t="shared" ca="1" si="29"/>
        <v>#NAME?</v>
      </c>
      <c r="AP26" s="575" t="e">
        <f t="shared" ca="1" si="30"/>
        <v>#NAME?</v>
      </c>
      <c r="AQ26" s="575" t="e">
        <f t="shared" ca="1" si="31"/>
        <v>#NAME?</v>
      </c>
      <c r="AR26" s="575" t="e">
        <f t="shared" ca="1" si="32"/>
        <v>#NAME?</v>
      </c>
      <c r="AS26" s="575" t="e">
        <f t="shared" ca="1" si="33"/>
        <v>#NAME?</v>
      </c>
      <c r="AT26" s="735">
        <f>'(E1) Vlerësimi i burimeve'!O35</f>
        <v>10353</v>
      </c>
      <c r="AU26" s="736" t="e">
        <f t="shared" ca="1" si="20"/>
        <v>#NAME?</v>
      </c>
      <c r="AV26" s="735">
        <f>'(E1) Vlerësimi i burimeve'!X35</f>
        <v>10353</v>
      </c>
      <c r="AW26" s="736" t="e">
        <f t="shared" ca="1" si="21"/>
        <v>#NAME?</v>
      </c>
      <c r="AX26" s="735">
        <f>'(E1) Vlerësimi i burimeve'!AG35</f>
        <v>10353</v>
      </c>
      <c r="AY26" s="736" t="e">
        <f t="shared" ca="1" si="22"/>
        <v>#NAME?</v>
      </c>
      <c r="AZ26" s="575" t="e">
        <f t="shared" ca="1" si="34"/>
        <v>#NAME?</v>
      </c>
      <c r="BA26" s="575" t="e">
        <f t="shared" ca="1" si="35"/>
        <v>#NAME?</v>
      </c>
      <c r="BB26" s="575" t="e">
        <f t="shared" ca="1" si="36"/>
        <v>#NAME?</v>
      </c>
    </row>
    <row r="27" spans="1:54" s="594" customFormat="1" ht="15.75" thickBot="1" x14ac:dyDescent="0.3">
      <c r="A27" s="595" t="str">
        <f>'(C2) Burimet viti kaluar'!C33</f>
        <v>A.3.2</v>
      </c>
      <c r="B27" s="607" t="str">
        <f>'(G1) Fjalori'!A244</f>
        <v>Tarifa për mbledhjen dhe largimin e mbetjeve</v>
      </c>
      <c r="C27" s="728"/>
      <c r="D27" s="598">
        <f>'(C2) Burimet viti kaluar'!D33</f>
        <v>0</v>
      </c>
      <c r="E27" s="598">
        <f>'(C2) Burimet viti kaluar'!E33</f>
        <v>0</v>
      </c>
      <c r="F27" s="598">
        <f>'(C2) Burimet viti kaluar'!F33</f>
        <v>0</v>
      </c>
      <c r="G27" s="925"/>
      <c r="H27" s="926"/>
      <c r="I27" s="599"/>
      <c r="J27" s="599"/>
      <c r="K27" s="599"/>
      <c r="L27" s="599"/>
      <c r="M27" s="599"/>
      <c r="N27" s="600"/>
      <c r="O27" s="601">
        <f t="shared" si="42"/>
        <v>0</v>
      </c>
      <c r="P27" s="925"/>
      <c r="Q27" s="926"/>
      <c r="R27" s="599"/>
      <c r="S27" s="599"/>
      <c r="T27" s="599"/>
      <c r="U27" s="599"/>
      <c r="V27" s="599"/>
      <c r="W27" s="600"/>
      <c r="X27" s="601">
        <f t="shared" si="40"/>
        <v>0</v>
      </c>
      <c r="Y27" s="925"/>
      <c r="Z27" s="926"/>
      <c r="AA27" s="599"/>
      <c r="AB27" s="599"/>
      <c r="AC27" s="599"/>
      <c r="AD27" s="599"/>
      <c r="AE27" s="599"/>
      <c r="AF27" s="600"/>
      <c r="AG27" s="601">
        <f t="shared" si="41"/>
        <v>0</v>
      </c>
      <c r="AI27" s="577" t="str">
        <f t="shared" si="24"/>
        <v>Tarifa për mbledhjen dhe largimin e mbetjeve</v>
      </c>
      <c r="AJ27" s="602"/>
      <c r="AK27" s="563">
        <f t="shared" si="25"/>
        <v>0</v>
      </c>
      <c r="AL27" s="563">
        <f t="shared" si="26"/>
        <v>0</v>
      </c>
      <c r="AM27" s="563">
        <f t="shared" si="27"/>
        <v>0</v>
      </c>
      <c r="AN27" s="575" t="e">
        <f t="shared" ca="1" si="28"/>
        <v>#NAME?</v>
      </c>
      <c r="AO27" s="575" t="e">
        <f t="shared" ca="1" si="29"/>
        <v>#NAME?</v>
      </c>
      <c r="AP27" s="575" t="e">
        <f t="shared" ca="1" si="30"/>
        <v>#NAME?</v>
      </c>
      <c r="AQ27" s="575" t="e">
        <f t="shared" ca="1" si="31"/>
        <v>#NAME?</v>
      </c>
      <c r="AR27" s="575" t="e">
        <f t="shared" ca="1" si="32"/>
        <v>#NAME?</v>
      </c>
      <c r="AS27" s="575" t="e">
        <f t="shared" ca="1" si="33"/>
        <v>#NAME?</v>
      </c>
      <c r="AT27" s="735">
        <f>'(E1) Vlerësimi i burimeve'!O36</f>
        <v>0</v>
      </c>
      <c r="AU27" s="736" t="e">
        <f t="shared" ca="1" si="20"/>
        <v>#NAME?</v>
      </c>
      <c r="AV27" s="735">
        <f>'(E1) Vlerësimi i burimeve'!X36</f>
        <v>0</v>
      </c>
      <c r="AW27" s="736" t="e">
        <f t="shared" ca="1" si="21"/>
        <v>#NAME?</v>
      </c>
      <c r="AX27" s="735">
        <f>'(E1) Vlerësimi i burimeve'!AG36</f>
        <v>0</v>
      </c>
      <c r="AY27" s="736" t="e">
        <f t="shared" ca="1" si="22"/>
        <v>#NAME?</v>
      </c>
      <c r="AZ27" s="575" t="e">
        <f t="shared" ca="1" si="34"/>
        <v>#NAME?</v>
      </c>
      <c r="BA27" s="575" t="e">
        <f t="shared" ca="1" si="35"/>
        <v>#NAME?</v>
      </c>
      <c r="BB27" s="575" t="e">
        <f t="shared" ca="1" si="36"/>
        <v>#NAME?</v>
      </c>
    </row>
    <row r="28" spans="1:54" s="594" customFormat="1" ht="15.75" thickBot="1" x14ac:dyDescent="0.3">
      <c r="A28" s="595" t="str">
        <f>'(C2) Burimet viti kaluar'!C34</f>
        <v>A.3.3</v>
      </c>
      <c r="B28" s="607" t="str">
        <f>'(G1) Fjalori'!A245</f>
        <v>Tarifa për ndriçimin publik</v>
      </c>
      <c r="C28" s="727"/>
      <c r="D28" s="605">
        <f>'(C2) Burimet viti kaluar'!D34</f>
        <v>2608</v>
      </c>
      <c r="E28" s="605">
        <f>'(C2) Burimet viti kaluar'!E34</f>
        <v>1813</v>
      </c>
      <c r="F28" s="605">
        <f>'(C2) Burimet viti kaluar'!F34</f>
        <v>4690</v>
      </c>
      <c r="G28" s="605"/>
      <c r="H28" s="608"/>
      <c r="I28" s="608"/>
      <c r="J28" s="608"/>
      <c r="K28" s="608"/>
      <c r="L28" s="608"/>
      <c r="M28" s="608"/>
      <c r="N28" s="609"/>
      <c r="O28" s="608">
        <f>SUM(O29:O31)</f>
        <v>4690</v>
      </c>
      <c r="P28" s="605"/>
      <c r="Q28" s="608"/>
      <c r="R28" s="608"/>
      <c r="S28" s="608"/>
      <c r="T28" s="608"/>
      <c r="U28" s="608"/>
      <c r="V28" s="608"/>
      <c r="W28" s="609"/>
      <c r="X28" s="608">
        <f>SUM(X29:X31)</f>
        <v>4690</v>
      </c>
      <c r="Y28" s="605"/>
      <c r="Z28" s="608"/>
      <c r="AA28" s="608"/>
      <c r="AB28" s="608"/>
      <c r="AC28" s="608"/>
      <c r="AD28" s="608"/>
      <c r="AE28" s="608"/>
      <c r="AF28" s="609"/>
      <c r="AG28" s="609">
        <f>SUM(AG29:AG31)</f>
        <v>4690</v>
      </c>
      <c r="AI28" s="577" t="str">
        <f t="shared" si="24"/>
        <v>Tarifa për ndriçimin publik</v>
      </c>
      <c r="AJ28" s="602"/>
      <c r="AK28" s="563">
        <f t="shared" si="25"/>
        <v>2608</v>
      </c>
      <c r="AL28" s="563">
        <f t="shared" si="26"/>
        <v>1813</v>
      </c>
      <c r="AM28" s="563">
        <f t="shared" si="27"/>
        <v>4690</v>
      </c>
      <c r="AN28" s="575" t="e">
        <f t="shared" ca="1" si="28"/>
        <v>#NAME?</v>
      </c>
      <c r="AO28" s="575" t="e">
        <f t="shared" ca="1" si="29"/>
        <v>#NAME?</v>
      </c>
      <c r="AP28" s="575" t="e">
        <f t="shared" ca="1" si="30"/>
        <v>#NAME?</v>
      </c>
      <c r="AQ28" s="575" t="e">
        <f t="shared" ca="1" si="31"/>
        <v>#NAME?</v>
      </c>
      <c r="AR28" s="575" t="e">
        <f t="shared" ca="1" si="32"/>
        <v>#NAME?</v>
      </c>
      <c r="AS28" s="575" t="e">
        <f t="shared" ca="1" si="33"/>
        <v>#NAME?</v>
      </c>
      <c r="AT28" s="735">
        <f>'(E1) Vlerësimi i burimeve'!O37</f>
        <v>4701.2</v>
      </c>
      <c r="AU28" s="736" t="e">
        <f t="shared" ca="1" si="20"/>
        <v>#NAME?</v>
      </c>
      <c r="AV28" s="735">
        <f>'(E1) Vlerësimi i burimeve'!X37</f>
        <v>4701.2</v>
      </c>
      <c r="AW28" s="736" t="e">
        <f t="shared" ca="1" si="21"/>
        <v>#NAME?</v>
      </c>
      <c r="AX28" s="735">
        <f>'(E1) Vlerësimi i burimeve'!AG37</f>
        <v>4701.2</v>
      </c>
      <c r="AY28" s="736" t="e">
        <f t="shared" ca="1" si="22"/>
        <v>#NAME?</v>
      </c>
      <c r="AZ28" s="575" t="e">
        <f t="shared" ca="1" si="34"/>
        <v>#NAME?</v>
      </c>
      <c r="BA28" s="575" t="e">
        <f t="shared" ca="1" si="35"/>
        <v>#NAME?</v>
      </c>
      <c r="BB28" s="575" t="e">
        <f t="shared" ca="1" si="36"/>
        <v>#NAME?</v>
      </c>
    </row>
    <row r="29" spans="1:54" s="576" customFormat="1" ht="15.75" thickBot="1" x14ac:dyDescent="0.3">
      <c r="A29" s="605" t="str">
        <f>'(C2) Burimet viti kaluar'!C35</f>
        <v>A.3.3.1</v>
      </c>
      <c r="B29" s="927" t="str">
        <f>'(G1) Fjalori'!A246</f>
        <v>Tarifa për ndriçimin publik nga familjet</v>
      </c>
      <c r="C29" s="928"/>
      <c r="D29" s="598">
        <f>'(C2) Burimet viti kaluar'!D35</f>
        <v>514</v>
      </c>
      <c r="E29" s="598">
        <f>'(C2) Burimet viti kaluar'!E35</f>
        <v>323</v>
      </c>
      <c r="F29" s="598">
        <f>'(C2) Burimet viti kaluar'!F35</f>
        <v>2300</v>
      </c>
      <c r="G29" s="925"/>
      <c r="H29" s="926"/>
      <c r="I29" s="599"/>
      <c r="J29" s="599"/>
      <c r="K29" s="599"/>
      <c r="L29" s="599"/>
      <c r="M29" s="599"/>
      <c r="N29" s="600"/>
      <c r="O29" s="601">
        <f t="shared" ref="O29:O31" si="43">IF(F29&lt;&gt;0,F29*(1+(SUM(I29:M29))),N29)</f>
        <v>2300</v>
      </c>
      <c r="P29" s="925"/>
      <c r="Q29" s="926"/>
      <c r="R29" s="599"/>
      <c r="S29" s="599"/>
      <c r="T29" s="599"/>
      <c r="U29" s="599"/>
      <c r="V29" s="599"/>
      <c r="W29" s="600"/>
      <c r="X29" s="601">
        <f t="shared" ref="X29:X31" si="44">IF(O29&lt;&gt;0,O29*(1+(SUM(R29:V29))),W29)</f>
        <v>2300</v>
      </c>
      <c r="Y29" s="925"/>
      <c r="Z29" s="926"/>
      <c r="AA29" s="599"/>
      <c r="AB29" s="599"/>
      <c r="AC29" s="599"/>
      <c r="AD29" s="599"/>
      <c r="AE29" s="599"/>
      <c r="AF29" s="600"/>
      <c r="AG29" s="601">
        <f t="shared" ref="AG29:AG31" si="45">IF(X29&lt;&gt;0,X29*(1+(SUM(AA29:AE29))),AF29)</f>
        <v>2300</v>
      </c>
      <c r="AI29" s="577" t="str">
        <f t="shared" si="24"/>
        <v>Tarifa për ndriçimin publik nga familjet</v>
      </c>
      <c r="AJ29" s="602"/>
      <c r="AK29" s="563">
        <f t="shared" si="25"/>
        <v>514</v>
      </c>
      <c r="AL29" s="563">
        <f t="shared" si="26"/>
        <v>323</v>
      </c>
      <c r="AM29" s="563">
        <f t="shared" si="27"/>
        <v>2300</v>
      </c>
      <c r="AN29" s="575" t="e">
        <f t="shared" ca="1" si="28"/>
        <v>#NAME?</v>
      </c>
      <c r="AO29" s="575" t="e">
        <f t="shared" ca="1" si="29"/>
        <v>#NAME?</v>
      </c>
      <c r="AP29" s="575" t="e">
        <f t="shared" ca="1" si="30"/>
        <v>#NAME?</v>
      </c>
      <c r="AQ29" s="575" t="e">
        <f t="shared" ca="1" si="31"/>
        <v>#NAME?</v>
      </c>
      <c r="AR29" s="575" t="e">
        <f t="shared" ca="1" si="32"/>
        <v>#NAME?</v>
      </c>
      <c r="AS29" s="575" t="e">
        <f t="shared" ca="1" si="33"/>
        <v>#NAME?</v>
      </c>
      <c r="AT29" s="735">
        <f>'(E1) Vlerësimi i burimeve'!O38</f>
        <v>2300</v>
      </c>
      <c r="AU29" s="736" t="e">
        <f t="shared" ca="1" si="20"/>
        <v>#NAME?</v>
      </c>
      <c r="AV29" s="735">
        <f>'(E1) Vlerësimi i burimeve'!X38</f>
        <v>2300</v>
      </c>
      <c r="AW29" s="736" t="e">
        <f t="shared" ca="1" si="21"/>
        <v>#NAME?</v>
      </c>
      <c r="AX29" s="735">
        <f>'(E1) Vlerësimi i burimeve'!AG38</f>
        <v>2300</v>
      </c>
      <c r="AY29" s="736" t="e">
        <f t="shared" ca="1" si="22"/>
        <v>#NAME?</v>
      </c>
      <c r="AZ29" s="575" t="e">
        <f t="shared" ca="1" si="34"/>
        <v>#NAME?</v>
      </c>
      <c r="BA29" s="575" t="e">
        <f t="shared" ca="1" si="35"/>
        <v>#NAME?</v>
      </c>
      <c r="BB29" s="575" t="e">
        <f t="shared" ca="1" si="36"/>
        <v>#NAME?</v>
      </c>
    </row>
    <row r="30" spans="1:54" s="576" customFormat="1" ht="15.75" thickBot="1" x14ac:dyDescent="0.3">
      <c r="A30" s="605" t="str">
        <f>'(C2) Burimet viti kaluar'!C36</f>
        <v>A.3.3.2</v>
      </c>
      <c r="B30" s="927" t="str">
        <f>'(G1) Fjalori'!A247</f>
        <v>Tarifa për ndriçimin publik nga institucionet</v>
      </c>
      <c r="C30" s="928"/>
      <c r="D30" s="598">
        <f>'(C2) Burimet viti kaluar'!D36</f>
        <v>138</v>
      </c>
      <c r="E30" s="598">
        <f>'(C2) Burimet viti kaluar'!E36</f>
        <v>141</v>
      </c>
      <c r="F30" s="598">
        <f>'(C2) Burimet viti kaluar'!F36</f>
        <v>140</v>
      </c>
      <c r="G30" s="925"/>
      <c r="H30" s="926"/>
      <c r="I30" s="599"/>
      <c r="J30" s="599"/>
      <c r="K30" s="599"/>
      <c r="L30" s="599"/>
      <c r="M30" s="599"/>
      <c r="N30" s="600"/>
      <c r="O30" s="601">
        <f t="shared" si="43"/>
        <v>140</v>
      </c>
      <c r="P30" s="925"/>
      <c r="Q30" s="926"/>
      <c r="R30" s="599"/>
      <c r="S30" s="599"/>
      <c r="T30" s="599"/>
      <c r="U30" s="599"/>
      <c r="V30" s="599"/>
      <c r="W30" s="600"/>
      <c r="X30" s="601">
        <f t="shared" si="44"/>
        <v>140</v>
      </c>
      <c r="Y30" s="925"/>
      <c r="Z30" s="926"/>
      <c r="AA30" s="599"/>
      <c r="AB30" s="599"/>
      <c r="AC30" s="599"/>
      <c r="AD30" s="599"/>
      <c r="AE30" s="599"/>
      <c r="AF30" s="600"/>
      <c r="AG30" s="601">
        <f t="shared" si="45"/>
        <v>140</v>
      </c>
      <c r="AI30" s="577" t="str">
        <f t="shared" si="24"/>
        <v>Tarifa për ndriçimin publik nga institucionet</v>
      </c>
      <c r="AJ30" s="602"/>
      <c r="AK30" s="563">
        <f t="shared" si="25"/>
        <v>138</v>
      </c>
      <c r="AL30" s="563">
        <f t="shared" si="26"/>
        <v>141</v>
      </c>
      <c r="AM30" s="563">
        <f t="shared" si="27"/>
        <v>140</v>
      </c>
      <c r="AN30" s="575" t="e">
        <f t="shared" ca="1" si="28"/>
        <v>#NAME?</v>
      </c>
      <c r="AO30" s="575" t="e">
        <f t="shared" ca="1" si="29"/>
        <v>#NAME?</v>
      </c>
      <c r="AP30" s="575" t="e">
        <f t="shared" ca="1" si="30"/>
        <v>#NAME?</v>
      </c>
      <c r="AQ30" s="575" t="e">
        <f t="shared" ca="1" si="31"/>
        <v>#NAME?</v>
      </c>
      <c r="AR30" s="575" t="e">
        <f t="shared" ca="1" si="32"/>
        <v>#NAME?</v>
      </c>
      <c r="AS30" s="575" t="e">
        <f t="shared" ca="1" si="33"/>
        <v>#NAME?</v>
      </c>
      <c r="AT30" s="735">
        <f>'(E1) Vlerësimi i burimeve'!O39</f>
        <v>151.20000000000002</v>
      </c>
      <c r="AU30" s="736" t="e">
        <f t="shared" ca="1" si="20"/>
        <v>#NAME?</v>
      </c>
      <c r="AV30" s="735">
        <f>'(E1) Vlerësimi i burimeve'!X39</f>
        <v>151.20000000000002</v>
      </c>
      <c r="AW30" s="736" t="e">
        <f t="shared" ca="1" si="21"/>
        <v>#NAME?</v>
      </c>
      <c r="AX30" s="735">
        <f>'(E1) Vlerësimi i burimeve'!AG39</f>
        <v>151.20000000000002</v>
      </c>
      <c r="AY30" s="736" t="e">
        <f t="shared" ca="1" si="22"/>
        <v>#NAME?</v>
      </c>
      <c r="AZ30" s="575" t="e">
        <f t="shared" ca="1" si="34"/>
        <v>#NAME?</v>
      </c>
      <c r="BA30" s="575" t="e">
        <f t="shared" ca="1" si="35"/>
        <v>#NAME?</v>
      </c>
      <c r="BB30" s="575" t="e">
        <f t="shared" ca="1" si="36"/>
        <v>#NAME?</v>
      </c>
    </row>
    <row r="31" spans="1:54" s="576" customFormat="1" ht="15.75" thickBot="1" x14ac:dyDescent="0.3">
      <c r="A31" s="605" t="str">
        <f>'(C2) Burimet viti kaluar'!C37</f>
        <v>A.3.3.3</v>
      </c>
      <c r="B31" s="927" t="str">
        <f>'(G1) Fjalori'!A248</f>
        <v>Tarifa për ndriçimin publik nga biznesi</v>
      </c>
      <c r="C31" s="928"/>
      <c r="D31" s="598">
        <f>'(C2) Burimet viti kaluar'!D37</f>
        <v>1956</v>
      </c>
      <c r="E31" s="598">
        <f>'(C2) Burimet viti kaluar'!E37</f>
        <v>1349</v>
      </c>
      <c r="F31" s="598">
        <f>'(C2) Burimet viti kaluar'!F37</f>
        <v>2250</v>
      </c>
      <c r="G31" s="925"/>
      <c r="H31" s="926"/>
      <c r="I31" s="599"/>
      <c r="J31" s="599"/>
      <c r="K31" s="599"/>
      <c r="L31" s="599"/>
      <c r="M31" s="599"/>
      <c r="N31" s="600"/>
      <c r="O31" s="601">
        <f t="shared" si="43"/>
        <v>2250</v>
      </c>
      <c r="P31" s="925"/>
      <c r="Q31" s="926"/>
      <c r="R31" s="599"/>
      <c r="S31" s="599"/>
      <c r="T31" s="599"/>
      <c r="U31" s="599"/>
      <c r="V31" s="599"/>
      <c r="W31" s="600"/>
      <c r="X31" s="601">
        <f t="shared" si="44"/>
        <v>2250</v>
      </c>
      <c r="Y31" s="925"/>
      <c r="Z31" s="926"/>
      <c r="AA31" s="599"/>
      <c r="AB31" s="599"/>
      <c r="AC31" s="599"/>
      <c r="AD31" s="599"/>
      <c r="AE31" s="599"/>
      <c r="AF31" s="600"/>
      <c r="AG31" s="601">
        <f t="shared" si="45"/>
        <v>2250</v>
      </c>
      <c r="AI31" s="577" t="str">
        <f t="shared" si="24"/>
        <v>Tarifa për ndriçimin publik nga biznesi</v>
      </c>
      <c r="AJ31" s="602"/>
      <c r="AK31" s="563">
        <f t="shared" si="25"/>
        <v>1956</v>
      </c>
      <c r="AL31" s="563">
        <f t="shared" si="26"/>
        <v>1349</v>
      </c>
      <c r="AM31" s="563">
        <f t="shared" si="27"/>
        <v>2250</v>
      </c>
      <c r="AN31" s="575" t="e">
        <f t="shared" ca="1" si="28"/>
        <v>#NAME?</v>
      </c>
      <c r="AO31" s="575" t="e">
        <f t="shared" ca="1" si="29"/>
        <v>#NAME?</v>
      </c>
      <c r="AP31" s="575" t="e">
        <f t="shared" ca="1" si="30"/>
        <v>#NAME?</v>
      </c>
      <c r="AQ31" s="575" t="e">
        <f t="shared" ca="1" si="31"/>
        <v>#NAME?</v>
      </c>
      <c r="AR31" s="575" t="e">
        <f t="shared" ca="1" si="32"/>
        <v>#NAME?</v>
      </c>
      <c r="AS31" s="575" t="e">
        <f t="shared" ca="1" si="33"/>
        <v>#NAME?</v>
      </c>
      <c r="AT31" s="735">
        <f>'(E1) Vlerësimi i burimeve'!O40</f>
        <v>2250</v>
      </c>
      <c r="AU31" s="736" t="e">
        <f t="shared" ca="1" si="20"/>
        <v>#NAME?</v>
      </c>
      <c r="AV31" s="735">
        <f>'(E1) Vlerësimi i burimeve'!X40</f>
        <v>2250</v>
      </c>
      <c r="AW31" s="736" t="e">
        <f t="shared" ca="1" si="21"/>
        <v>#NAME?</v>
      </c>
      <c r="AX31" s="735">
        <f>'(E1) Vlerësimi i burimeve'!AG40</f>
        <v>2250</v>
      </c>
      <c r="AY31" s="736" t="e">
        <f t="shared" ca="1" si="22"/>
        <v>#NAME?</v>
      </c>
      <c r="AZ31" s="575" t="e">
        <f t="shared" ca="1" si="34"/>
        <v>#NAME?</v>
      </c>
      <c r="BA31" s="575" t="e">
        <f t="shared" ca="1" si="35"/>
        <v>#NAME?</v>
      </c>
      <c r="BB31" s="575" t="e">
        <f t="shared" ca="1" si="36"/>
        <v>#NAME?</v>
      </c>
    </row>
    <row r="32" spans="1:54" s="594" customFormat="1" ht="15.75" thickBot="1" x14ac:dyDescent="0.3">
      <c r="A32" s="595" t="str">
        <f>'(C2) Burimet viti kaluar'!C38</f>
        <v>A.3.4</v>
      </c>
      <c r="B32" s="607" t="str">
        <f>'(G1) Fjalori'!A249</f>
        <v>Tarifa për gjelbërimin</v>
      </c>
      <c r="C32" s="727"/>
      <c r="D32" s="605">
        <f>'(C2) Burimet viti kaluar'!D38</f>
        <v>1244</v>
      </c>
      <c r="E32" s="605">
        <f>'(C2) Burimet viti kaluar'!E38</f>
        <v>948</v>
      </c>
      <c r="F32" s="605">
        <f>'(C2) Burimet viti kaluar'!F38</f>
        <v>1450</v>
      </c>
      <c r="G32" s="605"/>
      <c r="H32" s="608"/>
      <c r="I32" s="608"/>
      <c r="J32" s="608"/>
      <c r="K32" s="608"/>
      <c r="L32" s="608"/>
      <c r="M32" s="608"/>
      <c r="N32" s="609"/>
      <c r="O32" s="608">
        <f>SUM(O33:O35)</f>
        <v>1450</v>
      </c>
      <c r="P32" s="605"/>
      <c r="Q32" s="608"/>
      <c r="R32" s="608"/>
      <c r="S32" s="608"/>
      <c r="T32" s="608"/>
      <c r="U32" s="608"/>
      <c r="V32" s="608"/>
      <c r="W32" s="609"/>
      <c r="X32" s="608">
        <f>SUM(X33:X35)</f>
        <v>1450</v>
      </c>
      <c r="Y32" s="605"/>
      <c r="Z32" s="608"/>
      <c r="AA32" s="608"/>
      <c r="AB32" s="608"/>
      <c r="AC32" s="608"/>
      <c r="AD32" s="608"/>
      <c r="AE32" s="608"/>
      <c r="AF32" s="609"/>
      <c r="AG32" s="609">
        <f>SUM(AG33:AG35)</f>
        <v>1450</v>
      </c>
      <c r="AI32" s="577" t="str">
        <f t="shared" si="24"/>
        <v>Tarifa për gjelbërimin</v>
      </c>
      <c r="AJ32" s="602"/>
      <c r="AK32" s="563">
        <f t="shared" si="25"/>
        <v>1244</v>
      </c>
      <c r="AL32" s="563">
        <f t="shared" si="26"/>
        <v>948</v>
      </c>
      <c r="AM32" s="563">
        <f t="shared" si="27"/>
        <v>1450</v>
      </c>
      <c r="AN32" s="575" t="e">
        <f t="shared" ca="1" si="28"/>
        <v>#NAME?</v>
      </c>
      <c r="AO32" s="575" t="e">
        <f t="shared" ca="1" si="29"/>
        <v>#NAME?</v>
      </c>
      <c r="AP32" s="575" t="e">
        <f t="shared" ca="1" si="30"/>
        <v>#NAME?</v>
      </c>
      <c r="AQ32" s="575" t="e">
        <f t="shared" ca="1" si="31"/>
        <v>#NAME?</v>
      </c>
      <c r="AR32" s="575" t="e">
        <f t="shared" ca="1" si="32"/>
        <v>#NAME?</v>
      </c>
      <c r="AS32" s="575" t="e">
        <f t="shared" ca="1" si="33"/>
        <v>#NAME?</v>
      </c>
      <c r="AT32" s="735">
        <f>'(E1) Vlerësimi i burimeve'!O41</f>
        <v>1517.5</v>
      </c>
      <c r="AU32" s="736" t="e">
        <f t="shared" ca="1" si="20"/>
        <v>#NAME?</v>
      </c>
      <c r="AV32" s="735">
        <f>'(E1) Vlerësimi i burimeve'!X41</f>
        <v>1517.5</v>
      </c>
      <c r="AW32" s="736" t="e">
        <f t="shared" ca="1" si="21"/>
        <v>#NAME?</v>
      </c>
      <c r="AX32" s="735">
        <f>'(E1) Vlerësimi i burimeve'!AG41</f>
        <v>1517.5</v>
      </c>
      <c r="AY32" s="736" t="e">
        <f t="shared" ca="1" si="22"/>
        <v>#NAME?</v>
      </c>
      <c r="AZ32" s="575" t="e">
        <f t="shared" ca="1" si="34"/>
        <v>#NAME?</v>
      </c>
      <c r="BA32" s="575" t="e">
        <f t="shared" ca="1" si="35"/>
        <v>#NAME?</v>
      </c>
      <c r="BB32" s="575" t="e">
        <f t="shared" ca="1" si="36"/>
        <v>#NAME?</v>
      </c>
    </row>
    <row r="33" spans="1:54" s="576" customFormat="1" ht="15.75" thickBot="1" x14ac:dyDescent="0.3">
      <c r="A33" s="605" t="str">
        <f>'(C2) Burimet viti kaluar'!C39</f>
        <v>A.3.4.1</v>
      </c>
      <c r="B33" s="927" t="str">
        <f>'(G1) Fjalori'!A250</f>
        <v>Tarifa për gjelbërimin nga familjet</v>
      </c>
      <c r="C33" s="928"/>
      <c r="D33" s="598">
        <f>'(C2) Burimet viti kaluar'!D39</f>
        <v>0</v>
      </c>
      <c r="E33" s="598">
        <f>'(C2) Burimet viti kaluar'!E39</f>
        <v>0</v>
      </c>
      <c r="F33" s="598">
        <f>'(C2) Burimet viti kaluar'!F39</f>
        <v>0</v>
      </c>
      <c r="G33" s="925"/>
      <c r="H33" s="926"/>
      <c r="I33" s="599"/>
      <c r="J33" s="599"/>
      <c r="K33" s="599"/>
      <c r="L33" s="599"/>
      <c r="M33" s="599"/>
      <c r="N33" s="600"/>
      <c r="O33" s="601">
        <f t="shared" ref="O33:O35" si="46">IF(F33&lt;&gt;0,F33*(1+(SUM(I33:M33))),N33)</f>
        <v>0</v>
      </c>
      <c r="P33" s="925"/>
      <c r="Q33" s="926"/>
      <c r="R33" s="599"/>
      <c r="S33" s="599"/>
      <c r="T33" s="599"/>
      <c r="U33" s="599"/>
      <c r="V33" s="599"/>
      <c r="W33" s="600"/>
      <c r="X33" s="601">
        <f t="shared" ref="X33:X35" si="47">IF(O33&lt;&gt;0,O33*(1+(SUM(R33:V33))),W33)</f>
        <v>0</v>
      </c>
      <c r="Y33" s="925"/>
      <c r="Z33" s="926"/>
      <c r="AA33" s="599"/>
      <c r="AB33" s="599"/>
      <c r="AC33" s="599"/>
      <c r="AD33" s="599"/>
      <c r="AE33" s="599"/>
      <c r="AF33" s="600"/>
      <c r="AG33" s="601">
        <f t="shared" ref="AG33:AG35" si="48">IF(X33&lt;&gt;0,X33*(1+(SUM(AA33:AE33))),AF33)</f>
        <v>0</v>
      </c>
      <c r="AI33" s="577" t="str">
        <f t="shared" si="24"/>
        <v>Tarifa për gjelbërimin nga familjet</v>
      </c>
      <c r="AJ33" s="602"/>
      <c r="AK33" s="563">
        <f t="shared" si="25"/>
        <v>0</v>
      </c>
      <c r="AL33" s="563">
        <f t="shared" si="26"/>
        <v>0</v>
      </c>
      <c r="AM33" s="563">
        <f t="shared" si="27"/>
        <v>0</v>
      </c>
      <c r="AN33" s="575" t="e">
        <f t="shared" ca="1" si="28"/>
        <v>#NAME?</v>
      </c>
      <c r="AO33" s="575" t="e">
        <f t="shared" ca="1" si="29"/>
        <v>#NAME?</v>
      </c>
      <c r="AP33" s="575" t="e">
        <f t="shared" ca="1" si="30"/>
        <v>#NAME?</v>
      </c>
      <c r="AQ33" s="575" t="e">
        <f t="shared" ca="1" si="31"/>
        <v>#NAME?</v>
      </c>
      <c r="AR33" s="575" t="e">
        <f t="shared" ca="1" si="32"/>
        <v>#NAME?</v>
      </c>
      <c r="AS33" s="575" t="e">
        <f t="shared" ca="1" si="33"/>
        <v>#NAME?</v>
      </c>
      <c r="AT33" s="735">
        <f>'(E1) Vlerësimi i burimeve'!O42</f>
        <v>0</v>
      </c>
      <c r="AU33" s="736" t="e">
        <f t="shared" ca="1" si="20"/>
        <v>#NAME?</v>
      </c>
      <c r="AV33" s="735">
        <f>'(E1) Vlerësimi i burimeve'!X42</f>
        <v>0</v>
      </c>
      <c r="AW33" s="736" t="e">
        <f t="shared" ca="1" si="21"/>
        <v>#NAME?</v>
      </c>
      <c r="AX33" s="735">
        <f>'(E1) Vlerësimi i burimeve'!AG42</f>
        <v>0</v>
      </c>
      <c r="AY33" s="736" t="e">
        <f t="shared" ca="1" si="22"/>
        <v>#NAME?</v>
      </c>
      <c r="AZ33" s="575" t="e">
        <f t="shared" ca="1" si="34"/>
        <v>#NAME?</v>
      </c>
      <c r="BA33" s="575" t="e">
        <f t="shared" ca="1" si="35"/>
        <v>#NAME?</v>
      </c>
      <c r="BB33" s="575" t="e">
        <f t="shared" ca="1" si="36"/>
        <v>#NAME?</v>
      </c>
    </row>
    <row r="34" spans="1:54" s="576" customFormat="1" ht="15.75" thickBot="1" x14ac:dyDescent="0.3">
      <c r="A34" s="605" t="str">
        <f>'(C2) Burimet viti kaluar'!C40</f>
        <v>A.3.4.2</v>
      </c>
      <c r="B34" s="927" t="str">
        <f>'(G1) Fjalori'!A251</f>
        <v>Tarifa për gjelbërimin nga Institucionet</v>
      </c>
      <c r="C34" s="928"/>
      <c r="D34" s="598">
        <f>'(C2) Burimet viti kaluar'!D40</f>
        <v>81</v>
      </c>
      <c r="E34" s="598">
        <f>'(C2) Burimet viti kaluar'!E40</f>
        <v>97</v>
      </c>
      <c r="F34" s="598">
        <f>'(C2) Burimet viti kaluar'!F40</f>
        <v>100</v>
      </c>
      <c r="G34" s="925"/>
      <c r="H34" s="926"/>
      <c r="I34" s="599"/>
      <c r="J34" s="599"/>
      <c r="K34" s="599"/>
      <c r="L34" s="599"/>
      <c r="M34" s="599"/>
      <c r="N34" s="600"/>
      <c r="O34" s="601">
        <f t="shared" si="46"/>
        <v>100</v>
      </c>
      <c r="P34" s="925"/>
      <c r="Q34" s="926"/>
      <c r="R34" s="599"/>
      <c r="S34" s="599"/>
      <c r="T34" s="599"/>
      <c r="U34" s="599"/>
      <c r="V34" s="599"/>
      <c r="W34" s="600"/>
      <c r="X34" s="601">
        <f t="shared" si="47"/>
        <v>100</v>
      </c>
      <c r="Y34" s="925"/>
      <c r="Z34" s="926"/>
      <c r="AA34" s="599"/>
      <c r="AB34" s="599"/>
      <c r="AC34" s="599"/>
      <c r="AD34" s="599"/>
      <c r="AE34" s="599"/>
      <c r="AF34" s="600"/>
      <c r="AG34" s="601">
        <f t="shared" si="48"/>
        <v>100</v>
      </c>
      <c r="AI34" s="577" t="str">
        <f t="shared" si="24"/>
        <v>Tarifa për gjelbërimin nga Institucionet</v>
      </c>
      <c r="AJ34" s="602"/>
      <c r="AK34" s="563">
        <f t="shared" si="25"/>
        <v>81</v>
      </c>
      <c r="AL34" s="563">
        <f t="shared" si="26"/>
        <v>97</v>
      </c>
      <c r="AM34" s="563">
        <f t="shared" si="27"/>
        <v>100</v>
      </c>
      <c r="AN34" s="575" t="e">
        <f t="shared" ca="1" si="28"/>
        <v>#NAME?</v>
      </c>
      <c r="AO34" s="575" t="e">
        <f t="shared" ca="1" si="29"/>
        <v>#NAME?</v>
      </c>
      <c r="AP34" s="575" t="e">
        <f t="shared" ca="1" si="30"/>
        <v>#NAME?</v>
      </c>
      <c r="AQ34" s="575" t="e">
        <f t="shared" ca="1" si="31"/>
        <v>#NAME?</v>
      </c>
      <c r="AR34" s="575" t="e">
        <f t="shared" ca="1" si="32"/>
        <v>#NAME?</v>
      </c>
      <c r="AS34" s="575" t="e">
        <f t="shared" ca="1" si="33"/>
        <v>#NAME?</v>
      </c>
      <c r="AT34" s="735">
        <f>'(E1) Vlerësimi i burimeve'!O43</f>
        <v>100</v>
      </c>
      <c r="AU34" s="736" t="e">
        <f t="shared" ca="1" si="20"/>
        <v>#NAME?</v>
      </c>
      <c r="AV34" s="735">
        <f>'(E1) Vlerësimi i burimeve'!X43</f>
        <v>100</v>
      </c>
      <c r="AW34" s="736" t="e">
        <f t="shared" ca="1" si="21"/>
        <v>#NAME?</v>
      </c>
      <c r="AX34" s="735">
        <f>'(E1) Vlerësimi i burimeve'!AG43</f>
        <v>100</v>
      </c>
      <c r="AY34" s="736" t="e">
        <f t="shared" ca="1" si="22"/>
        <v>#NAME?</v>
      </c>
      <c r="AZ34" s="575" t="e">
        <f t="shared" ca="1" si="34"/>
        <v>#NAME?</v>
      </c>
      <c r="BA34" s="575" t="e">
        <f t="shared" ca="1" si="35"/>
        <v>#NAME?</v>
      </c>
      <c r="BB34" s="575" t="e">
        <f t="shared" ca="1" si="36"/>
        <v>#NAME?</v>
      </c>
    </row>
    <row r="35" spans="1:54" s="576" customFormat="1" ht="15.75" thickBot="1" x14ac:dyDescent="0.3">
      <c r="A35" s="605" t="str">
        <f>'(C2) Burimet viti kaluar'!C41</f>
        <v>A.3.4.3</v>
      </c>
      <c r="B35" s="927" t="str">
        <f>'(G1) Fjalori'!A252</f>
        <v>Tarifa për gjelbërimin nga bizneset</v>
      </c>
      <c r="C35" s="928"/>
      <c r="D35" s="598">
        <f>'(C2) Burimet viti kaluar'!D41</f>
        <v>1163</v>
      </c>
      <c r="E35" s="598">
        <f>'(C2) Burimet viti kaluar'!E41</f>
        <v>851</v>
      </c>
      <c r="F35" s="598">
        <f>'(C2) Burimet viti kaluar'!F41</f>
        <v>1350</v>
      </c>
      <c r="G35" s="925"/>
      <c r="H35" s="926"/>
      <c r="I35" s="599"/>
      <c r="J35" s="599"/>
      <c r="K35" s="599"/>
      <c r="L35" s="599"/>
      <c r="M35" s="599"/>
      <c r="N35" s="600"/>
      <c r="O35" s="601">
        <f t="shared" si="46"/>
        <v>1350</v>
      </c>
      <c r="P35" s="925"/>
      <c r="Q35" s="926"/>
      <c r="R35" s="599"/>
      <c r="S35" s="599"/>
      <c r="T35" s="599"/>
      <c r="U35" s="599"/>
      <c r="V35" s="599"/>
      <c r="W35" s="600"/>
      <c r="X35" s="601">
        <f t="shared" si="47"/>
        <v>1350</v>
      </c>
      <c r="Y35" s="925"/>
      <c r="Z35" s="926"/>
      <c r="AA35" s="599"/>
      <c r="AB35" s="599"/>
      <c r="AC35" s="599"/>
      <c r="AD35" s="599"/>
      <c r="AE35" s="599"/>
      <c r="AF35" s="600"/>
      <c r="AG35" s="601">
        <f t="shared" si="48"/>
        <v>1350</v>
      </c>
      <c r="AI35" s="577" t="str">
        <f t="shared" si="24"/>
        <v>Tarifa për gjelbërimin nga bizneset</v>
      </c>
      <c r="AJ35" s="602"/>
      <c r="AK35" s="563">
        <f t="shared" si="25"/>
        <v>1163</v>
      </c>
      <c r="AL35" s="563">
        <f t="shared" si="26"/>
        <v>851</v>
      </c>
      <c r="AM35" s="563">
        <f t="shared" si="27"/>
        <v>1350</v>
      </c>
      <c r="AN35" s="575" t="e">
        <f t="shared" ca="1" si="28"/>
        <v>#NAME?</v>
      </c>
      <c r="AO35" s="575" t="e">
        <f t="shared" ca="1" si="29"/>
        <v>#NAME?</v>
      </c>
      <c r="AP35" s="575" t="e">
        <f t="shared" ca="1" si="30"/>
        <v>#NAME?</v>
      </c>
      <c r="AQ35" s="575" t="e">
        <f t="shared" ca="1" si="31"/>
        <v>#NAME?</v>
      </c>
      <c r="AR35" s="575" t="e">
        <f t="shared" ca="1" si="32"/>
        <v>#NAME?</v>
      </c>
      <c r="AS35" s="575" t="e">
        <f t="shared" ca="1" si="33"/>
        <v>#NAME?</v>
      </c>
      <c r="AT35" s="735">
        <f>'(E1) Vlerësimi i burimeve'!O44</f>
        <v>1417.5</v>
      </c>
      <c r="AU35" s="736" t="e">
        <f t="shared" ca="1" si="20"/>
        <v>#NAME?</v>
      </c>
      <c r="AV35" s="735">
        <f>'(E1) Vlerësimi i burimeve'!X44</f>
        <v>1417.5</v>
      </c>
      <c r="AW35" s="736" t="e">
        <f t="shared" ca="1" si="21"/>
        <v>#NAME?</v>
      </c>
      <c r="AX35" s="735">
        <f>'(E1) Vlerësimi i burimeve'!AG44</f>
        <v>1417.5</v>
      </c>
      <c r="AY35" s="736" t="e">
        <f t="shared" ca="1" si="22"/>
        <v>#NAME?</v>
      </c>
      <c r="AZ35" s="575" t="e">
        <f t="shared" ca="1" si="34"/>
        <v>#NAME?</v>
      </c>
      <c r="BA35" s="575" t="e">
        <f t="shared" ca="1" si="35"/>
        <v>#NAME?</v>
      </c>
      <c r="BB35" s="575" t="e">
        <f t="shared" ca="1" si="36"/>
        <v>#NAME?</v>
      </c>
    </row>
    <row r="36" spans="1:54" s="594" customFormat="1" ht="15.75" thickBot="1" x14ac:dyDescent="0.3">
      <c r="A36" s="595" t="str">
        <f>'(C2) Burimet viti kaluar'!C42</f>
        <v>A.3.5</v>
      </c>
      <c r="B36" s="607" t="str">
        <f>'(G1) Fjalori'!A253</f>
        <v>Tarifa për shërbimet administrative të bashkisë</v>
      </c>
      <c r="C36" s="727"/>
      <c r="D36" s="605">
        <f>'(C2) Burimet viti kaluar'!D42</f>
        <v>6216</v>
      </c>
      <c r="E36" s="605">
        <f>'(C2) Burimet viti kaluar'!E42</f>
        <v>8749</v>
      </c>
      <c r="F36" s="605">
        <f>'(C2) Burimet viti kaluar'!F42</f>
        <v>9874</v>
      </c>
      <c r="G36" s="605"/>
      <c r="H36" s="608"/>
      <c r="I36" s="608"/>
      <c r="J36" s="608"/>
      <c r="K36" s="608"/>
      <c r="L36" s="608"/>
      <c r="M36" s="608"/>
      <c r="N36" s="609"/>
      <c r="O36" s="608">
        <f>SUM(O37:O49)</f>
        <v>11474</v>
      </c>
      <c r="P36" s="605"/>
      <c r="Q36" s="608"/>
      <c r="R36" s="608"/>
      <c r="S36" s="608"/>
      <c r="T36" s="608"/>
      <c r="U36" s="608"/>
      <c r="V36" s="608"/>
      <c r="W36" s="609"/>
      <c r="X36" s="608">
        <f>SUM(X37:X49)</f>
        <v>11574</v>
      </c>
      <c r="Y36" s="605"/>
      <c r="Z36" s="608"/>
      <c r="AA36" s="608"/>
      <c r="AB36" s="608"/>
      <c r="AC36" s="608"/>
      <c r="AD36" s="608"/>
      <c r="AE36" s="608"/>
      <c r="AF36" s="609"/>
      <c r="AG36" s="609">
        <f>SUM(AG37:AG49)</f>
        <v>12078</v>
      </c>
      <c r="AI36" s="577" t="str">
        <f t="shared" si="24"/>
        <v>Tarifa për shërbimet administrative të bashkisë</v>
      </c>
      <c r="AJ36" s="602"/>
      <c r="AK36" s="563">
        <f t="shared" si="25"/>
        <v>6216</v>
      </c>
      <c r="AL36" s="563">
        <f t="shared" si="26"/>
        <v>8749</v>
      </c>
      <c r="AM36" s="563">
        <f t="shared" si="27"/>
        <v>9874</v>
      </c>
      <c r="AN36" s="575" t="e">
        <f t="shared" ca="1" si="28"/>
        <v>#NAME?</v>
      </c>
      <c r="AO36" s="575" t="e">
        <f t="shared" ca="1" si="29"/>
        <v>#NAME?</v>
      </c>
      <c r="AP36" s="575" t="e">
        <f t="shared" ca="1" si="30"/>
        <v>#NAME?</v>
      </c>
      <c r="AQ36" s="575" t="e">
        <f t="shared" ca="1" si="31"/>
        <v>#NAME?</v>
      </c>
      <c r="AR36" s="575" t="e">
        <f t="shared" ca="1" si="32"/>
        <v>#NAME?</v>
      </c>
      <c r="AS36" s="575" t="e">
        <f t="shared" ca="1" si="33"/>
        <v>#NAME?</v>
      </c>
      <c r="AT36" s="735">
        <f>'(E1) Vlerësimi i burimeve'!O45</f>
        <v>10126</v>
      </c>
      <c r="AU36" s="736" t="e">
        <f t="shared" ca="1" si="20"/>
        <v>#NAME?</v>
      </c>
      <c r="AV36" s="735">
        <f>'(E1) Vlerësimi i burimeve'!X45</f>
        <v>10126</v>
      </c>
      <c r="AW36" s="736" t="e">
        <f t="shared" ca="1" si="21"/>
        <v>#NAME?</v>
      </c>
      <c r="AX36" s="735">
        <f>'(E1) Vlerësimi i burimeve'!AG45</f>
        <v>10126</v>
      </c>
      <c r="AY36" s="736" t="e">
        <f t="shared" ca="1" si="22"/>
        <v>#NAME?</v>
      </c>
      <c r="AZ36" s="575" t="e">
        <f t="shared" ca="1" si="34"/>
        <v>#NAME?</v>
      </c>
      <c r="BA36" s="575" t="e">
        <f t="shared" ca="1" si="35"/>
        <v>#NAME?</v>
      </c>
      <c r="BB36" s="575" t="e">
        <f t="shared" ca="1" si="36"/>
        <v>#NAME?</v>
      </c>
    </row>
    <row r="37" spans="1:54" s="576" customFormat="1" ht="15.75" thickBot="1" x14ac:dyDescent="0.3">
      <c r="A37" s="605" t="str">
        <f>'(C2) Burimet viti kaluar'!C43</f>
        <v>A.3.5.1</v>
      </c>
      <c r="B37" s="927" t="str">
        <f>'(G1) Fjalori'!A254</f>
        <v>Tarifa për shërbimet administrative të bashkisë</v>
      </c>
      <c r="C37" s="928"/>
      <c r="D37" s="598">
        <f>'(C2) Burimet viti kaluar'!D43</f>
        <v>3102</v>
      </c>
      <c r="E37" s="598">
        <f>'(C2) Burimet viti kaluar'!E43</f>
        <v>2774</v>
      </c>
      <c r="F37" s="598">
        <f>'(C2) Burimet viti kaluar'!F43</f>
        <v>3000</v>
      </c>
      <c r="G37" s="925"/>
      <c r="H37" s="926"/>
      <c r="I37" s="599"/>
      <c r="J37" s="599"/>
      <c r="K37" s="599"/>
      <c r="L37" s="599"/>
      <c r="M37" s="599"/>
      <c r="N37" s="600"/>
      <c r="O37" s="601">
        <f t="shared" ref="O37:O49" si="49">IF(F37&lt;&gt;0,F37*(1+(SUM(I37:M37))),N37)</f>
        <v>3000</v>
      </c>
      <c r="P37" s="925"/>
      <c r="Q37" s="926"/>
      <c r="R37" s="599"/>
      <c r="S37" s="599"/>
      <c r="T37" s="599"/>
      <c r="U37" s="599"/>
      <c r="V37" s="599"/>
      <c r="W37" s="600"/>
      <c r="X37" s="601">
        <f t="shared" ref="X37:X49" si="50">IF(O37&lt;&gt;0,O37*(1+(SUM(R37:V37))),W37)</f>
        <v>3000</v>
      </c>
      <c r="Y37" s="925"/>
      <c r="Z37" s="926"/>
      <c r="AA37" s="599"/>
      <c r="AB37" s="599"/>
      <c r="AC37" s="599"/>
      <c r="AD37" s="599"/>
      <c r="AE37" s="599"/>
      <c r="AF37" s="600"/>
      <c r="AG37" s="601">
        <f t="shared" ref="AG37:AG49" si="51">IF(X37&lt;&gt;0,X37*(1+(SUM(AA37:AE37))),AF37)</f>
        <v>3000</v>
      </c>
      <c r="AI37" s="577" t="str">
        <f t="shared" si="24"/>
        <v>Tarifa për shërbimet administrative të bashkisë</v>
      </c>
      <c r="AJ37" s="602"/>
      <c r="AK37" s="563">
        <f t="shared" si="25"/>
        <v>3102</v>
      </c>
      <c r="AL37" s="563">
        <f t="shared" si="26"/>
        <v>2774</v>
      </c>
      <c r="AM37" s="563">
        <f t="shared" si="27"/>
        <v>3000</v>
      </c>
      <c r="AN37" s="575" t="e">
        <f t="shared" ca="1" si="28"/>
        <v>#NAME?</v>
      </c>
      <c r="AO37" s="575" t="e">
        <f t="shared" ca="1" si="29"/>
        <v>#NAME?</v>
      </c>
      <c r="AP37" s="575" t="e">
        <f t="shared" ca="1" si="30"/>
        <v>#NAME?</v>
      </c>
      <c r="AQ37" s="575" t="e">
        <f t="shared" ca="1" si="31"/>
        <v>#NAME?</v>
      </c>
      <c r="AR37" s="575" t="e">
        <f t="shared" ca="1" si="32"/>
        <v>#NAME?</v>
      </c>
      <c r="AS37" s="575" t="e">
        <f t="shared" ca="1" si="33"/>
        <v>#NAME?</v>
      </c>
      <c r="AT37" s="735">
        <f>'(E1) Vlerësimi i burimeve'!O46</f>
        <v>3000</v>
      </c>
      <c r="AU37" s="736" t="e">
        <f t="shared" ca="1" si="20"/>
        <v>#NAME?</v>
      </c>
      <c r="AV37" s="735">
        <f>'(E1) Vlerësimi i burimeve'!X46</f>
        <v>3000</v>
      </c>
      <c r="AW37" s="736" t="e">
        <f t="shared" ca="1" si="21"/>
        <v>#NAME?</v>
      </c>
      <c r="AX37" s="735">
        <f>'(E1) Vlerësimi i burimeve'!AG46</f>
        <v>3000</v>
      </c>
      <c r="AY37" s="736" t="e">
        <f t="shared" ca="1" si="22"/>
        <v>#NAME?</v>
      </c>
      <c r="AZ37" s="575" t="e">
        <f t="shared" ca="1" si="34"/>
        <v>#NAME?</v>
      </c>
      <c r="BA37" s="575" t="e">
        <f t="shared" ca="1" si="35"/>
        <v>#NAME?</v>
      </c>
      <c r="BB37" s="575" t="e">
        <f t="shared" ca="1" si="36"/>
        <v>#NAME?</v>
      </c>
    </row>
    <row r="38" spans="1:54" s="576" customFormat="1" ht="15.75" thickBot="1" x14ac:dyDescent="0.3">
      <c r="A38" s="605" t="str">
        <f>'(C2) Burimet viti kaluar'!C44</f>
        <v>A.3.5.2</v>
      </c>
      <c r="B38" s="927" t="str">
        <f>'(G1) Fjalori'!A255</f>
        <v>Tarifa për dhënien e liçensave, lejeve e autorizimeve</v>
      </c>
      <c r="C38" s="928"/>
      <c r="D38" s="598">
        <f>'(C2) Burimet viti kaluar'!D44</f>
        <v>0</v>
      </c>
      <c r="E38" s="598">
        <f>'(C2) Burimet viti kaluar'!E44</f>
        <v>0</v>
      </c>
      <c r="F38" s="598">
        <f>'(C2) Burimet viti kaluar'!F44</f>
        <v>0</v>
      </c>
      <c r="G38" s="925"/>
      <c r="H38" s="926"/>
      <c r="I38" s="599"/>
      <c r="J38" s="599"/>
      <c r="K38" s="599"/>
      <c r="L38" s="599"/>
      <c r="M38" s="599"/>
      <c r="N38" s="600">
        <v>1000</v>
      </c>
      <c r="O38" s="601">
        <f t="shared" si="49"/>
        <v>1000</v>
      </c>
      <c r="P38" s="925"/>
      <c r="Q38" s="926"/>
      <c r="R38" s="599">
        <v>0.1</v>
      </c>
      <c r="S38" s="599"/>
      <c r="T38" s="599"/>
      <c r="U38" s="599"/>
      <c r="V38" s="599"/>
      <c r="W38" s="600"/>
      <c r="X38" s="601">
        <f t="shared" si="50"/>
        <v>1100</v>
      </c>
      <c r="Y38" s="925"/>
      <c r="Z38" s="926"/>
      <c r="AA38" s="599"/>
      <c r="AB38" s="599"/>
      <c r="AC38" s="599"/>
      <c r="AD38" s="599"/>
      <c r="AE38" s="599"/>
      <c r="AF38" s="600"/>
      <c r="AG38" s="601">
        <f t="shared" si="51"/>
        <v>1100</v>
      </c>
      <c r="AI38" s="577" t="str">
        <f t="shared" si="24"/>
        <v>Tarifa për dhënien e liçensave, lejeve e autorizimeve</v>
      </c>
      <c r="AJ38" s="602"/>
      <c r="AK38" s="563">
        <f t="shared" si="25"/>
        <v>0</v>
      </c>
      <c r="AL38" s="563">
        <f t="shared" si="26"/>
        <v>0</v>
      </c>
      <c r="AM38" s="563">
        <f t="shared" si="27"/>
        <v>0</v>
      </c>
      <c r="AN38" s="575" t="e">
        <f t="shared" ca="1" si="28"/>
        <v>#NAME?</v>
      </c>
      <c r="AO38" s="575" t="e">
        <f t="shared" ca="1" si="29"/>
        <v>#NAME?</v>
      </c>
      <c r="AP38" s="575" t="e">
        <f t="shared" ca="1" si="30"/>
        <v>#NAME?</v>
      </c>
      <c r="AQ38" s="575" t="e">
        <f t="shared" ca="1" si="31"/>
        <v>#NAME?</v>
      </c>
      <c r="AR38" s="575" t="e">
        <f t="shared" ca="1" si="32"/>
        <v>#NAME?</v>
      </c>
      <c r="AS38" s="575" t="e">
        <f t="shared" ca="1" si="33"/>
        <v>#NAME?</v>
      </c>
      <c r="AT38" s="735">
        <f>'(E1) Vlerësimi i burimeve'!O47</f>
        <v>0</v>
      </c>
      <c r="AU38" s="736" t="e">
        <f t="shared" ca="1" si="20"/>
        <v>#NAME?</v>
      </c>
      <c r="AV38" s="735">
        <f>'(E1) Vlerësimi i burimeve'!X47</f>
        <v>0</v>
      </c>
      <c r="AW38" s="736" t="e">
        <f t="shared" ca="1" si="21"/>
        <v>#NAME?</v>
      </c>
      <c r="AX38" s="735">
        <f>'(E1) Vlerësimi i burimeve'!AG47</f>
        <v>0</v>
      </c>
      <c r="AY38" s="736" t="e">
        <f t="shared" ca="1" si="22"/>
        <v>#NAME?</v>
      </c>
      <c r="AZ38" s="575" t="e">
        <f t="shared" ca="1" si="34"/>
        <v>#NAME?</v>
      </c>
      <c r="BA38" s="575" t="e">
        <f t="shared" ca="1" si="35"/>
        <v>#NAME?</v>
      </c>
      <c r="BB38" s="575" t="e">
        <f t="shared" ca="1" si="36"/>
        <v>#NAME?</v>
      </c>
    </row>
    <row r="39" spans="1:54" s="576" customFormat="1" ht="15.75" thickBot="1" x14ac:dyDescent="0.3">
      <c r="A39" s="605" t="str">
        <f>'(C2) Burimet viti kaluar'!C45</f>
        <v>A.3.5.3</v>
      </c>
      <c r="B39" s="927" t="str">
        <f>'(G1) Fjalori'!A256</f>
        <v>Tarifa të kontrollit të zhvillimit të territorit</v>
      </c>
      <c r="C39" s="928"/>
      <c r="D39" s="598">
        <f>'(C2) Burimet viti kaluar'!D45</f>
        <v>0</v>
      </c>
      <c r="E39" s="598">
        <f>'(C2) Burimet viti kaluar'!E45</f>
        <v>0</v>
      </c>
      <c r="F39" s="598">
        <f>'(C2) Burimet viti kaluar'!F45</f>
        <v>0</v>
      </c>
      <c r="G39" s="925"/>
      <c r="H39" s="926"/>
      <c r="I39" s="599"/>
      <c r="J39" s="599"/>
      <c r="K39" s="599"/>
      <c r="L39" s="599"/>
      <c r="M39" s="599"/>
      <c r="N39" s="600"/>
      <c r="O39" s="601">
        <f t="shared" si="49"/>
        <v>0</v>
      </c>
      <c r="P39" s="925"/>
      <c r="Q39" s="926"/>
      <c r="R39" s="599"/>
      <c r="S39" s="599"/>
      <c r="T39" s="599"/>
      <c r="U39" s="599"/>
      <c r="V39" s="599"/>
      <c r="W39" s="600"/>
      <c r="X39" s="601">
        <f t="shared" si="50"/>
        <v>0</v>
      </c>
      <c r="Y39" s="925"/>
      <c r="Z39" s="926"/>
      <c r="AA39" s="599"/>
      <c r="AB39" s="599"/>
      <c r="AC39" s="599"/>
      <c r="AD39" s="599"/>
      <c r="AE39" s="599"/>
      <c r="AF39" s="600"/>
      <c r="AG39" s="601">
        <f t="shared" si="51"/>
        <v>0</v>
      </c>
      <c r="AI39" s="577" t="str">
        <f t="shared" si="24"/>
        <v>Tarifa të kontrollit të zhvillimit të territorit</v>
      </c>
      <c r="AJ39" s="602"/>
      <c r="AK39" s="563">
        <f t="shared" si="25"/>
        <v>0</v>
      </c>
      <c r="AL39" s="563">
        <f t="shared" si="26"/>
        <v>0</v>
      </c>
      <c r="AM39" s="563">
        <f t="shared" si="27"/>
        <v>0</v>
      </c>
      <c r="AN39" s="575" t="e">
        <f t="shared" ca="1" si="28"/>
        <v>#NAME?</v>
      </c>
      <c r="AO39" s="575" t="e">
        <f t="shared" ca="1" si="29"/>
        <v>#NAME?</v>
      </c>
      <c r="AP39" s="575" t="e">
        <f t="shared" ca="1" si="30"/>
        <v>#NAME?</v>
      </c>
      <c r="AQ39" s="575" t="e">
        <f t="shared" ca="1" si="31"/>
        <v>#NAME?</v>
      </c>
      <c r="AR39" s="575" t="e">
        <f t="shared" ca="1" si="32"/>
        <v>#NAME?</v>
      </c>
      <c r="AS39" s="575" t="e">
        <f t="shared" ca="1" si="33"/>
        <v>#NAME?</v>
      </c>
      <c r="AT39" s="735">
        <f>'(E1) Vlerësimi i burimeve'!O48</f>
        <v>0</v>
      </c>
      <c r="AU39" s="736" t="e">
        <f t="shared" ca="1" si="20"/>
        <v>#NAME?</v>
      </c>
      <c r="AV39" s="735">
        <f>'(E1) Vlerësimi i burimeve'!X48</f>
        <v>0</v>
      </c>
      <c r="AW39" s="736" t="e">
        <f t="shared" ca="1" si="21"/>
        <v>#NAME?</v>
      </c>
      <c r="AX39" s="735">
        <f>'(E1) Vlerësimi i burimeve'!AG48</f>
        <v>0</v>
      </c>
      <c r="AY39" s="736" t="e">
        <f t="shared" ca="1" si="22"/>
        <v>#NAME?</v>
      </c>
      <c r="AZ39" s="575" t="e">
        <f t="shared" ca="1" si="34"/>
        <v>#NAME?</v>
      </c>
      <c r="BA39" s="575" t="e">
        <f t="shared" ca="1" si="35"/>
        <v>#NAME?</v>
      </c>
      <c r="BB39" s="575" t="e">
        <f t="shared" ca="1" si="36"/>
        <v>#NAME?</v>
      </c>
    </row>
    <row r="40" spans="1:54" s="576" customFormat="1" ht="15.75" thickBot="1" x14ac:dyDescent="0.3">
      <c r="A40" s="605" t="str">
        <f>'(C2) Burimet viti kaluar'!C46</f>
        <v>A.3.5.4</v>
      </c>
      <c r="B40" s="927" t="str">
        <f>'(G1) Fjalori'!A257</f>
        <v>Tarifa për vulosje veterinarie të bagëtive të therura</v>
      </c>
      <c r="C40" s="928"/>
      <c r="D40" s="598">
        <f>'(C2) Burimet viti kaluar'!D46</f>
        <v>109</v>
      </c>
      <c r="E40" s="598">
        <f>'(C2) Burimet viti kaluar'!E46</f>
        <v>243</v>
      </c>
      <c r="F40" s="598">
        <f>'(C2) Burimet viti kaluar'!F46</f>
        <v>200</v>
      </c>
      <c r="G40" s="925"/>
      <c r="H40" s="926"/>
      <c r="I40" s="599"/>
      <c r="J40" s="599"/>
      <c r="K40" s="599"/>
      <c r="L40" s="599"/>
      <c r="M40" s="599"/>
      <c r="N40" s="600"/>
      <c r="O40" s="601">
        <f t="shared" si="49"/>
        <v>200</v>
      </c>
      <c r="P40" s="925"/>
      <c r="Q40" s="926"/>
      <c r="R40" s="599"/>
      <c r="S40" s="599"/>
      <c r="T40" s="599"/>
      <c r="U40" s="599"/>
      <c r="V40" s="599"/>
      <c r="W40" s="600"/>
      <c r="X40" s="601">
        <f t="shared" si="50"/>
        <v>200</v>
      </c>
      <c r="Y40" s="925"/>
      <c r="Z40" s="926"/>
      <c r="AA40" s="599"/>
      <c r="AB40" s="599"/>
      <c r="AC40" s="599"/>
      <c r="AD40" s="599"/>
      <c r="AE40" s="599"/>
      <c r="AF40" s="600"/>
      <c r="AG40" s="601">
        <f t="shared" si="51"/>
        <v>200</v>
      </c>
      <c r="AI40" s="577" t="str">
        <f t="shared" si="24"/>
        <v>Tarifa për vulosje veterinarie të bagëtive të therura</v>
      </c>
      <c r="AJ40" s="602"/>
      <c r="AK40" s="563">
        <f t="shared" si="25"/>
        <v>109</v>
      </c>
      <c r="AL40" s="563">
        <f t="shared" si="26"/>
        <v>243</v>
      </c>
      <c r="AM40" s="563">
        <f t="shared" si="27"/>
        <v>200</v>
      </c>
      <c r="AN40" s="575" t="e">
        <f t="shared" ca="1" si="28"/>
        <v>#NAME?</v>
      </c>
      <c r="AO40" s="575" t="e">
        <f t="shared" ca="1" si="29"/>
        <v>#NAME?</v>
      </c>
      <c r="AP40" s="575" t="e">
        <f t="shared" ca="1" si="30"/>
        <v>#NAME?</v>
      </c>
      <c r="AQ40" s="575" t="e">
        <f t="shared" ca="1" si="31"/>
        <v>#NAME?</v>
      </c>
      <c r="AR40" s="575" t="e">
        <f t="shared" ca="1" si="32"/>
        <v>#NAME?</v>
      </c>
      <c r="AS40" s="575" t="e">
        <f t="shared" ca="1" si="33"/>
        <v>#NAME?</v>
      </c>
      <c r="AT40" s="735">
        <f>'(E1) Vlerësimi i burimeve'!O49</f>
        <v>200</v>
      </c>
      <c r="AU40" s="736" t="e">
        <f t="shared" ca="1" si="20"/>
        <v>#NAME?</v>
      </c>
      <c r="AV40" s="735">
        <f>'(E1) Vlerësimi i burimeve'!X49</f>
        <v>200</v>
      </c>
      <c r="AW40" s="736" t="e">
        <f t="shared" ca="1" si="21"/>
        <v>#NAME?</v>
      </c>
      <c r="AX40" s="735">
        <f>'(E1) Vlerësimi i burimeve'!AG49</f>
        <v>200</v>
      </c>
      <c r="AY40" s="736" t="e">
        <f t="shared" ca="1" si="22"/>
        <v>#NAME?</v>
      </c>
      <c r="AZ40" s="575" t="e">
        <f t="shared" ca="1" si="34"/>
        <v>#NAME?</v>
      </c>
      <c r="BA40" s="575" t="e">
        <f t="shared" ca="1" si="35"/>
        <v>#NAME?</v>
      </c>
      <c r="BB40" s="575" t="e">
        <f t="shared" ca="1" si="36"/>
        <v>#NAME?</v>
      </c>
    </row>
    <row r="41" spans="1:54" s="576" customFormat="1" ht="15.75" thickBot="1" x14ac:dyDescent="0.3">
      <c r="A41" s="605" t="str">
        <f>'(C2) Burimet viti kaluar'!C47</f>
        <v>A.3.5.5</v>
      </c>
      <c r="B41" s="927" t="str">
        <f>'(G1) Fjalori'!A258</f>
        <v>Tarifa e liçensimit të veprimtarive të transportit</v>
      </c>
      <c r="C41" s="928"/>
      <c r="D41" s="598">
        <f>'(C2) Burimet viti kaluar'!D47</f>
        <v>1261</v>
      </c>
      <c r="E41" s="598">
        <f>'(C2) Burimet viti kaluar'!E47</f>
        <v>1533</v>
      </c>
      <c r="F41" s="598">
        <f>'(C2) Burimet viti kaluar'!F47</f>
        <v>1600</v>
      </c>
      <c r="G41" s="925"/>
      <c r="H41" s="926"/>
      <c r="I41" s="599"/>
      <c r="J41" s="599"/>
      <c r="K41" s="599"/>
      <c r="L41" s="599"/>
      <c r="M41" s="599"/>
      <c r="N41" s="600"/>
      <c r="O41" s="601">
        <f t="shared" si="49"/>
        <v>1600</v>
      </c>
      <c r="P41" s="925"/>
      <c r="Q41" s="926"/>
      <c r="R41" s="599"/>
      <c r="S41" s="599"/>
      <c r="T41" s="599"/>
      <c r="U41" s="599"/>
      <c r="V41" s="599"/>
      <c r="W41" s="600"/>
      <c r="X41" s="601">
        <f t="shared" si="50"/>
        <v>1600</v>
      </c>
      <c r="Y41" s="925"/>
      <c r="Z41" s="926"/>
      <c r="AA41" s="599"/>
      <c r="AB41" s="599"/>
      <c r="AC41" s="599"/>
      <c r="AD41" s="599"/>
      <c r="AE41" s="599"/>
      <c r="AF41" s="600"/>
      <c r="AG41" s="601">
        <f t="shared" si="51"/>
        <v>1600</v>
      </c>
      <c r="AI41" s="577" t="str">
        <f t="shared" si="24"/>
        <v>Tarifa e liçensimit të veprimtarive të transportit</v>
      </c>
      <c r="AJ41" s="602"/>
      <c r="AK41" s="563">
        <f t="shared" si="25"/>
        <v>1261</v>
      </c>
      <c r="AL41" s="563">
        <f t="shared" si="26"/>
        <v>1533</v>
      </c>
      <c r="AM41" s="563">
        <f t="shared" si="27"/>
        <v>1600</v>
      </c>
      <c r="AN41" s="575" t="e">
        <f t="shared" ca="1" si="28"/>
        <v>#NAME?</v>
      </c>
      <c r="AO41" s="575" t="e">
        <f t="shared" ca="1" si="29"/>
        <v>#NAME?</v>
      </c>
      <c r="AP41" s="575" t="e">
        <f t="shared" ca="1" si="30"/>
        <v>#NAME?</v>
      </c>
      <c r="AQ41" s="575" t="e">
        <f t="shared" ca="1" si="31"/>
        <v>#NAME?</v>
      </c>
      <c r="AR41" s="575" t="e">
        <f t="shared" ca="1" si="32"/>
        <v>#NAME?</v>
      </c>
      <c r="AS41" s="575" t="e">
        <f t="shared" ca="1" si="33"/>
        <v>#NAME?</v>
      </c>
      <c r="AT41" s="735">
        <f>'(E1) Vlerësimi i burimeve'!O50</f>
        <v>1680</v>
      </c>
      <c r="AU41" s="736" t="e">
        <f t="shared" ca="1" si="20"/>
        <v>#NAME?</v>
      </c>
      <c r="AV41" s="735">
        <f>'(E1) Vlerësimi i burimeve'!X50</f>
        <v>1680</v>
      </c>
      <c r="AW41" s="736" t="e">
        <f t="shared" ca="1" si="21"/>
        <v>#NAME?</v>
      </c>
      <c r="AX41" s="735">
        <f>'(E1) Vlerësimi i burimeve'!AG50</f>
        <v>1680</v>
      </c>
      <c r="AY41" s="736" t="e">
        <f t="shared" ca="1" si="22"/>
        <v>#NAME?</v>
      </c>
      <c r="AZ41" s="575" t="e">
        <f t="shared" ca="1" si="34"/>
        <v>#NAME?</v>
      </c>
      <c r="BA41" s="575" t="e">
        <f t="shared" ca="1" si="35"/>
        <v>#NAME?</v>
      </c>
      <c r="BB41" s="575" t="e">
        <f t="shared" ca="1" si="36"/>
        <v>#NAME?</v>
      </c>
    </row>
    <row r="42" spans="1:54" s="576" customFormat="1" ht="15.75" thickBot="1" x14ac:dyDescent="0.3">
      <c r="A42" s="605" t="str">
        <f>'(C2) Burimet viti kaluar'!C48</f>
        <v>A.3.5.6</v>
      </c>
      <c r="B42" s="927" t="str">
        <f>'(G1) Fjalori'!A259</f>
        <v>Tarifa e parkimit për mjetet e liçensuara dhe vendparkime publike</v>
      </c>
      <c r="C42" s="928"/>
      <c r="D42" s="598">
        <f>'(C2) Burimet viti kaluar'!D48</f>
        <v>782</v>
      </c>
      <c r="E42" s="598">
        <f>'(C2) Burimet viti kaluar'!E48</f>
        <v>956</v>
      </c>
      <c r="F42" s="598">
        <f>'(C2) Burimet viti kaluar'!F48</f>
        <v>1000</v>
      </c>
      <c r="G42" s="925"/>
      <c r="H42" s="926"/>
      <c r="I42" s="599"/>
      <c r="J42" s="599"/>
      <c r="K42" s="599"/>
      <c r="L42" s="599"/>
      <c r="M42" s="599"/>
      <c r="N42" s="600"/>
      <c r="O42" s="601">
        <f t="shared" si="49"/>
        <v>1000</v>
      </c>
      <c r="P42" s="925"/>
      <c r="Q42" s="926"/>
      <c r="R42" s="599"/>
      <c r="S42" s="599"/>
      <c r="T42" s="599"/>
      <c r="U42" s="599"/>
      <c r="V42" s="599"/>
      <c r="W42" s="600"/>
      <c r="X42" s="601">
        <f t="shared" si="50"/>
        <v>1000</v>
      </c>
      <c r="Y42" s="925"/>
      <c r="Z42" s="926"/>
      <c r="AA42" s="599"/>
      <c r="AB42" s="599"/>
      <c r="AC42" s="599"/>
      <c r="AD42" s="599"/>
      <c r="AE42" s="599"/>
      <c r="AF42" s="600"/>
      <c r="AG42" s="601">
        <f t="shared" si="51"/>
        <v>1000</v>
      </c>
      <c r="AI42" s="577" t="str">
        <f t="shared" si="24"/>
        <v>Tarifa e parkimit për mjetet e liçensuara dhe vendparkime publike</v>
      </c>
      <c r="AJ42" s="602"/>
      <c r="AK42" s="563">
        <f t="shared" si="25"/>
        <v>782</v>
      </c>
      <c r="AL42" s="563">
        <f t="shared" si="26"/>
        <v>956</v>
      </c>
      <c r="AM42" s="563">
        <f t="shared" si="27"/>
        <v>1000</v>
      </c>
      <c r="AN42" s="575" t="e">
        <f t="shared" ca="1" si="28"/>
        <v>#NAME?</v>
      </c>
      <c r="AO42" s="575" t="e">
        <f t="shared" ca="1" si="29"/>
        <v>#NAME?</v>
      </c>
      <c r="AP42" s="575" t="e">
        <f t="shared" ca="1" si="30"/>
        <v>#NAME?</v>
      </c>
      <c r="AQ42" s="575" t="e">
        <f t="shared" ca="1" si="31"/>
        <v>#NAME?</v>
      </c>
      <c r="AR42" s="575" t="e">
        <f t="shared" ca="1" si="32"/>
        <v>#NAME?</v>
      </c>
      <c r="AS42" s="575" t="e">
        <f t="shared" ca="1" si="33"/>
        <v>#NAME?</v>
      </c>
      <c r="AT42" s="735">
        <f>'(E1) Vlerësimi i burimeve'!O51</f>
        <v>1000</v>
      </c>
      <c r="AU42" s="736" t="e">
        <f t="shared" ca="1" si="20"/>
        <v>#NAME?</v>
      </c>
      <c r="AV42" s="735">
        <f>'(E1) Vlerësimi i burimeve'!X51</f>
        <v>1000</v>
      </c>
      <c r="AW42" s="736" t="e">
        <f t="shared" ca="1" si="21"/>
        <v>#NAME?</v>
      </c>
      <c r="AX42" s="735">
        <f>'(E1) Vlerësimi i burimeve'!AG51</f>
        <v>1000</v>
      </c>
      <c r="AY42" s="736" t="e">
        <f t="shared" ca="1" si="22"/>
        <v>#NAME?</v>
      </c>
      <c r="AZ42" s="575" t="e">
        <f t="shared" ca="1" si="34"/>
        <v>#NAME?</v>
      </c>
      <c r="BA42" s="575" t="e">
        <f t="shared" ca="1" si="35"/>
        <v>#NAME?</v>
      </c>
      <c r="BB42" s="575" t="e">
        <f t="shared" ca="1" si="36"/>
        <v>#NAME?</v>
      </c>
    </row>
    <row r="43" spans="1:54" s="576" customFormat="1" ht="15.75" thickBot="1" x14ac:dyDescent="0.3">
      <c r="A43" s="605" t="str">
        <f>'(C2) Burimet viti kaluar'!C49</f>
        <v>A.3.5.7</v>
      </c>
      <c r="B43" s="927" t="str">
        <f>'(G1) Fjalori'!A260</f>
        <v>Tarifa për dhënie liçense për tregtimin e naftës bruto dhe nënprodukteve të saj</v>
      </c>
      <c r="C43" s="928"/>
      <c r="D43" s="598">
        <f>'(C2) Burimet viti kaluar'!D49</f>
        <v>0</v>
      </c>
      <c r="E43" s="598">
        <f>'(C2) Burimet viti kaluar'!E49</f>
        <v>3000</v>
      </c>
      <c r="F43" s="598">
        <f>'(C2) Burimet viti kaluar'!F49</f>
        <v>3000</v>
      </c>
      <c r="G43" s="925"/>
      <c r="H43" s="926"/>
      <c r="I43" s="599">
        <v>0.1</v>
      </c>
      <c r="J43" s="599">
        <v>0.1</v>
      </c>
      <c r="K43" s="599"/>
      <c r="L43" s="599"/>
      <c r="M43" s="599"/>
      <c r="N43" s="600"/>
      <c r="O43" s="601">
        <f t="shared" si="49"/>
        <v>3600</v>
      </c>
      <c r="P43" s="925"/>
      <c r="Q43" s="926"/>
      <c r="R43" s="599"/>
      <c r="S43" s="599"/>
      <c r="T43" s="599"/>
      <c r="U43" s="599"/>
      <c r="V43" s="599"/>
      <c r="W43" s="600"/>
      <c r="X43" s="601">
        <f t="shared" si="50"/>
        <v>3600</v>
      </c>
      <c r="Y43" s="925"/>
      <c r="Z43" s="926"/>
      <c r="AA43" s="599">
        <v>0.1</v>
      </c>
      <c r="AB43" s="599"/>
      <c r="AC43" s="599"/>
      <c r="AD43" s="599"/>
      <c r="AE43" s="599">
        <v>0.04</v>
      </c>
      <c r="AF43" s="600"/>
      <c r="AG43" s="601">
        <f t="shared" si="51"/>
        <v>4104</v>
      </c>
      <c r="AI43" s="577" t="str">
        <f t="shared" si="24"/>
        <v>Tarifa për dhënie liçense për tregtimin e naftës bruto dhe nënprodukteve të saj</v>
      </c>
      <c r="AJ43" s="602"/>
      <c r="AK43" s="563">
        <f t="shared" si="25"/>
        <v>0</v>
      </c>
      <c r="AL43" s="563">
        <f t="shared" si="26"/>
        <v>3000</v>
      </c>
      <c r="AM43" s="563">
        <f t="shared" si="27"/>
        <v>3000</v>
      </c>
      <c r="AN43" s="575" t="e">
        <f t="shared" ca="1" si="28"/>
        <v>#NAME?</v>
      </c>
      <c r="AO43" s="575" t="e">
        <f t="shared" ca="1" si="29"/>
        <v>#NAME?</v>
      </c>
      <c r="AP43" s="575" t="e">
        <f t="shared" ca="1" si="30"/>
        <v>#NAME?</v>
      </c>
      <c r="AQ43" s="575" t="e">
        <f t="shared" ca="1" si="31"/>
        <v>#NAME?</v>
      </c>
      <c r="AR43" s="575" t="e">
        <f t="shared" ca="1" si="32"/>
        <v>#NAME?</v>
      </c>
      <c r="AS43" s="575" t="e">
        <f t="shared" ca="1" si="33"/>
        <v>#NAME?</v>
      </c>
      <c r="AT43" s="735">
        <f>'(E1) Vlerësimi i burimeve'!O52</f>
        <v>3120</v>
      </c>
      <c r="AU43" s="736" t="e">
        <f t="shared" ca="1" si="20"/>
        <v>#NAME?</v>
      </c>
      <c r="AV43" s="735">
        <f>'(E1) Vlerësimi i burimeve'!X52</f>
        <v>3120</v>
      </c>
      <c r="AW43" s="736" t="e">
        <f t="shared" ca="1" si="21"/>
        <v>#NAME?</v>
      </c>
      <c r="AX43" s="735">
        <f>'(E1) Vlerësimi i burimeve'!AG52</f>
        <v>3120</v>
      </c>
      <c r="AY43" s="736" t="e">
        <f t="shared" ca="1" si="22"/>
        <v>#NAME?</v>
      </c>
      <c r="AZ43" s="575" t="e">
        <f t="shared" ca="1" si="34"/>
        <v>#NAME?</v>
      </c>
      <c r="BA43" s="575" t="e">
        <f t="shared" ca="1" si="35"/>
        <v>#NAME?</v>
      </c>
      <c r="BB43" s="575" t="e">
        <f t="shared" ca="1" si="36"/>
        <v>#NAME?</v>
      </c>
    </row>
    <row r="44" spans="1:54" s="576" customFormat="1" ht="15.75" thickBot="1" x14ac:dyDescent="0.3">
      <c r="A44" s="605" t="str">
        <f>'(C2) Burimet viti kaluar'!C50</f>
        <v>A.3.5.8</v>
      </c>
      <c r="B44" s="927" t="str">
        <f>'(G1) Fjalori'!A261</f>
        <v>Tarifa për pyejt dhe kullotat</v>
      </c>
      <c r="C44" s="928"/>
      <c r="D44" s="598">
        <f>'(C2) Burimet viti kaluar'!D50</f>
        <v>0</v>
      </c>
      <c r="E44" s="598">
        <f>'(C2) Burimet viti kaluar'!E50</f>
        <v>0</v>
      </c>
      <c r="F44" s="598">
        <f>'(C2) Burimet viti kaluar'!F50</f>
        <v>500</v>
      </c>
      <c r="G44" s="925"/>
      <c r="H44" s="926"/>
      <c r="I44" s="599"/>
      <c r="J44" s="599"/>
      <c r="K44" s="599"/>
      <c r="L44" s="599"/>
      <c r="M44" s="599"/>
      <c r="N44" s="600"/>
      <c r="O44" s="601">
        <f t="shared" si="49"/>
        <v>500</v>
      </c>
      <c r="P44" s="925"/>
      <c r="Q44" s="926"/>
      <c r="R44" s="599"/>
      <c r="S44" s="599"/>
      <c r="T44" s="599"/>
      <c r="U44" s="599"/>
      <c r="V44" s="599"/>
      <c r="W44" s="600"/>
      <c r="X44" s="601">
        <f t="shared" si="50"/>
        <v>500</v>
      </c>
      <c r="Y44" s="925"/>
      <c r="Z44" s="926"/>
      <c r="AA44" s="599"/>
      <c r="AB44" s="599"/>
      <c r="AC44" s="599"/>
      <c r="AD44" s="599"/>
      <c r="AE44" s="599"/>
      <c r="AF44" s="600"/>
      <c r="AG44" s="601">
        <f t="shared" si="51"/>
        <v>500</v>
      </c>
      <c r="AI44" s="577" t="str">
        <f t="shared" si="24"/>
        <v>Tarifa për pyejt dhe kullotat</v>
      </c>
      <c r="AJ44" s="602"/>
      <c r="AK44" s="563">
        <f t="shared" si="25"/>
        <v>0</v>
      </c>
      <c r="AL44" s="563">
        <f t="shared" si="26"/>
        <v>0</v>
      </c>
      <c r="AM44" s="563">
        <f t="shared" si="27"/>
        <v>500</v>
      </c>
      <c r="AN44" s="575" t="e">
        <f t="shared" ca="1" si="28"/>
        <v>#NAME?</v>
      </c>
      <c r="AO44" s="575" t="e">
        <f t="shared" ca="1" si="29"/>
        <v>#NAME?</v>
      </c>
      <c r="AP44" s="575" t="e">
        <f t="shared" ca="1" si="30"/>
        <v>#NAME?</v>
      </c>
      <c r="AQ44" s="575" t="e">
        <f t="shared" ca="1" si="31"/>
        <v>#NAME?</v>
      </c>
      <c r="AR44" s="575" t="e">
        <f t="shared" ca="1" si="32"/>
        <v>#NAME?</v>
      </c>
      <c r="AS44" s="575" t="e">
        <f t="shared" ca="1" si="33"/>
        <v>#NAME?</v>
      </c>
      <c r="AT44" s="735">
        <f>'(E1) Vlerësimi i burimeve'!O53</f>
        <v>540</v>
      </c>
      <c r="AU44" s="736" t="e">
        <f t="shared" ca="1" si="20"/>
        <v>#NAME?</v>
      </c>
      <c r="AV44" s="735">
        <f>'(E1) Vlerësimi i burimeve'!X53</f>
        <v>540</v>
      </c>
      <c r="AW44" s="736" t="e">
        <f t="shared" ca="1" si="21"/>
        <v>#NAME?</v>
      </c>
      <c r="AX44" s="735">
        <f>'(E1) Vlerësimi i burimeve'!AG53</f>
        <v>540</v>
      </c>
      <c r="AY44" s="736" t="e">
        <f t="shared" ca="1" si="22"/>
        <v>#NAME?</v>
      </c>
      <c r="AZ44" s="575" t="e">
        <f t="shared" ca="1" si="34"/>
        <v>#NAME?</v>
      </c>
      <c r="BA44" s="575" t="e">
        <f t="shared" ca="1" si="35"/>
        <v>#NAME?</v>
      </c>
      <c r="BB44" s="575" t="e">
        <f t="shared" ca="1" si="36"/>
        <v>#NAME?</v>
      </c>
    </row>
    <row r="45" spans="1:54" s="576" customFormat="1" ht="15.75" thickBot="1" x14ac:dyDescent="0.3">
      <c r="A45" s="605" t="str">
        <f>'(C2) Burimet viti kaluar'!C51</f>
        <v>A.3.5.9</v>
      </c>
      <c r="B45" s="927" t="str">
        <f>'(G1) Fjalori'!A262</f>
        <v>Tarifa për shërbimet shtesë nga zjarrëfiksja</v>
      </c>
      <c r="C45" s="928"/>
      <c r="D45" s="598">
        <f>'(C2) Burimet viti kaluar'!D51</f>
        <v>437</v>
      </c>
      <c r="E45" s="598">
        <f>'(C2) Burimet viti kaluar'!E51</f>
        <v>118</v>
      </c>
      <c r="F45" s="598">
        <f>'(C2) Burimet viti kaluar'!F51</f>
        <v>174</v>
      </c>
      <c r="G45" s="925"/>
      <c r="H45" s="926"/>
      <c r="I45" s="599"/>
      <c r="J45" s="599"/>
      <c r="K45" s="599"/>
      <c r="L45" s="599"/>
      <c r="M45" s="599"/>
      <c r="N45" s="600"/>
      <c r="O45" s="601">
        <f t="shared" si="49"/>
        <v>174</v>
      </c>
      <c r="P45" s="925"/>
      <c r="Q45" s="926"/>
      <c r="R45" s="599"/>
      <c r="S45" s="599"/>
      <c r="T45" s="599"/>
      <c r="U45" s="599"/>
      <c r="V45" s="599"/>
      <c r="W45" s="600"/>
      <c r="X45" s="601">
        <f t="shared" si="50"/>
        <v>174</v>
      </c>
      <c r="Y45" s="925"/>
      <c r="Z45" s="926"/>
      <c r="AA45" s="599"/>
      <c r="AB45" s="599"/>
      <c r="AC45" s="599"/>
      <c r="AD45" s="599"/>
      <c r="AE45" s="599"/>
      <c r="AF45" s="600"/>
      <c r="AG45" s="601">
        <f t="shared" si="51"/>
        <v>174</v>
      </c>
      <c r="AI45" s="577" t="str">
        <f t="shared" si="24"/>
        <v>Tarifa për shërbimet shtesë nga zjarrëfiksja</v>
      </c>
      <c r="AJ45" s="602"/>
      <c r="AK45" s="563">
        <f t="shared" si="25"/>
        <v>437</v>
      </c>
      <c r="AL45" s="563">
        <f t="shared" si="26"/>
        <v>118</v>
      </c>
      <c r="AM45" s="563">
        <f t="shared" si="27"/>
        <v>174</v>
      </c>
      <c r="AN45" s="575" t="e">
        <f t="shared" ca="1" si="28"/>
        <v>#NAME?</v>
      </c>
      <c r="AO45" s="575" t="e">
        <f t="shared" ca="1" si="29"/>
        <v>#NAME?</v>
      </c>
      <c r="AP45" s="575" t="e">
        <f t="shared" ca="1" si="30"/>
        <v>#NAME?</v>
      </c>
      <c r="AQ45" s="575" t="e">
        <f t="shared" ca="1" si="31"/>
        <v>#NAME?</v>
      </c>
      <c r="AR45" s="575" t="e">
        <f t="shared" ca="1" si="32"/>
        <v>#NAME?</v>
      </c>
      <c r="AS45" s="575" t="e">
        <f t="shared" ca="1" si="33"/>
        <v>#NAME?</v>
      </c>
      <c r="AT45" s="735">
        <f>'(E1) Vlerësimi i burimeve'!O54</f>
        <v>174</v>
      </c>
      <c r="AU45" s="736" t="e">
        <f t="shared" ca="1" si="20"/>
        <v>#NAME?</v>
      </c>
      <c r="AV45" s="735">
        <f>'(E1) Vlerësimi i burimeve'!X54</f>
        <v>174</v>
      </c>
      <c r="AW45" s="736" t="e">
        <f t="shared" ca="1" si="21"/>
        <v>#NAME?</v>
      </c>
      <c r="AX45" s="735">
        <f>'(E1) Vlerësimi i burimeve'!AG54</f>
        <v>174</v>
      </c>
      <c r="AY45" s="736" t="e">
        <f t="shared" ca="1" si="22"/>
        <v>#NAME?</v>
      </c>
      <c r="AZ45" s="575" t="e">
        <f t="shared" ca="1" si="34"/>
        <v>#NAME?</v>
      </c>
      <c r="BA45" s="575" t="e">
        <f t="shared" ca="1" si="35"/>
        <v>#NAME?</v>
      </c>
      <c r="BB45" s="575" t="e">
        <f t="shared" ca="1" si="36"/>
        <v>#NAME?</v>
      </c>
    </row>
    <row r="46" spans="1:54" s="576" customFormat="1" ht="15.75" thickBot="1" x14ac:dyDescent="0.3">
      <c r="A46" s="605" t="str">
        <f>'(C2) Burimet viti kaluar'!C52</f>
        <v>A.3.5.10</v>
      </c>
      <c r="B46" s="927" t="str">
        <f>'(G1) Fjalori'!A263</f>
        <v>Tarifa për zënien dhe përdorimin e hapsirës publike dhe fasadave</v>
      </c>
      <c r="C46" s="928"/>
      <c r="D46" s="598">
        <f>'(C2) Burimet viti kaluar'!D52</f>
        <v>525</v>
      </c>
      <c r="E46" s="598">
        <f>'(C2) Burimet viti kaluar'!E52</f>
        <v>125</v>
      </c>
      <c r="F46" s="598">
        <f>'(C2) Burimet viti kaluar'!F52</f>
        <v>400</v>
      </c>
      <c r="G46" s="925"/>
      <c r="H46" s="926"/>
      <c r="I46" s="599"/>
      <c r="J46" s="599"/>
      <c r="K46" s="599"/>
      <c r="L46" s="599"/>
      <c r="M46" s="599"/>
      <c r="N46" s="600"/>
      <c r="O46" s="601">
        <f t="shared" si="49"/>
        <v>400</v>
      </c>
      <c r="P46" s="925"/>
      <c r="Q46" s="926"/>
      <c r="R46" s="599"/>
      <c r="S46" s="599"/>
      <c r="T46" s="599"/>
      <c r="U46" s="599"/>
      <c r="V46" s="599"/>
      <c r="W46" s="600"/>
      <c r="X46" s="601">
        <f t="shared" si="50"/>
        <v>400</v>
      </c>
      <c r="Y46" s="925"/>
      <c r="Z46" s="926"/>
      <c r="AA46" s="599"/>
      <c r="AB46" s="599"/>
      <c r="AC46" s="599"/>
      <c r="AD46" s="599"/>
      <c r="AE46" s="599"/>
      <c r="AF46" s="600"/>
      <c r="AG46" s="601">
        <f t="shared" si="51"/>
        <v>400</v>
      </c>
      <c r="AI46" s="577" t="str">
        <f t="shared" si="24"/>
        <v>Tarifa për zënien dhe përdorimin e hapsirës publike dhe fasadave</v>
      </c>
      <c r="AJ46" s="602"/>
      <c r="AK46" s="563">
        <f t="shared" si="25"/>
        <v>525</v>
      </c>
      <c r="AL46" s="563">
        <f t="shared" si="26"/>
        <v>125</v>
      </c>
      <c r="AM46" s="563">
        <f t="shared" si="27"/>
        <v>400</v>
      </c>
      <c r="AN46" s="575" t="e">
        <f t="shared" ca="1" si="28"/>
        <v>#NAME?</v>
      </c>
      <c r="AO46" s="575" t="e">
        <f t="shared" ca="1" si="29"/>
        <v>#NAME?</v>
      </c>
      <c r="AP46" s="575" t="e">
        <f t="shared" ca="1" si="30"/>
        <v>#NAME?</v>
      </c>
      <c r="AQ46" s="575" t="e">
        <f t="shared" ca="1" si="31"/>
        <v>#NAME?</v>
      </c>
      <c r="AR46" s="575" t="e">
        <f t="shared" ca="1" si="32"/>
        <v>#NAME?</v>
      </c>
      <c r="AS46" s="575" t="e">
        <f t="shared" ca="1" si="33"/>
        <v>#NAME?</v>
      </c>
      <c r="AT46" s="735">
        <f>'(E1) Vlerësimi i burimeve'!O55</f>
        <v>412</v>
      </c>
      <c r="AU46" s="736" t="e">
        <f t="shared" ca="1" si="20"/>
        <v>#NAME?</v>
      </c>
      <c r="AV46" s="735">
        <f>'(E1) Vlerësimi i burimeve'!X55</f>
        <v>412</v>
      </c>
      <c r="AW46" s="736" t="e">
        <f t="shared" ca="1" si="21"/>
        <v>#NAME?</v>
      </c>
      <c r="AX46" s="735">
        <f>'(E1) Vlerësimi i burimeve'!AG55</f>
        <v>412</v>
      </c>
      <c r="AY46" s="736" t="e">
        <f t="shared" ca="1" si="22"/>
        <v>#NAME?</v>
      </c>
      <c r="AZ46" s="575" t="e">
        <f t="shared" ca="1" si="34"/>
        <v>#NAME?</v>
      </c>
      <c r="BA46" s="575" t="e">
        <f t="shared" ca="1" si="35"/>
        <v>#NAME?</v>
      </c>
      <c r="BB46" s="575" t="e">
        <f t="shared" ca="1" si="36"/>
        <v>#NAME?</v>
      </c>
    </row>
    <row r="47" spans="1:54" s="576" customFormat="1" ht="15.75" thickBot="1" x14ac:dyDescent="0.3">
      <c r="A47" s="605" t="str">
        <f>'(C2) Burimet viti kaluar'!C53</f>
        <v>A.3.5.11</v>
      </c>
      <c r="B47" s="927" t="str">
        <f>'(G1) Fjalori'!A264</f>
        <v xml:space="preserve">Tarifa për trajtimin e mbetjeve inerte në landfille </v>
      </c>
      <c r="C47" s="928"/>
      <c r="D47" s="598">
        <f>'(C2) Burimet viti kaluar'!D53</f>
        <v>0</v>
      </c>
      <c r="E47" s="598">
        <f>'(C2) Burimet viti kaluar'!E53</f>
        <v>0</v>
      </c>
      <c r="F47" s="598">
        <f>'(C2) Burimet viti kaluar'!F53</f>
        <v>0</v>
      </c>
      <c r="G47" s="925"/>
      <c r="H47" s="926"/>
      <c r="I47" s="599"/>
      <c r="J47" s="599"/>
      <c r="K47" s="599"/>
      <c r="L47" s="599"/>
      <c r="M47" s="599"/>
      <c r="N47" s="600"/>
      <c r="O47" s="601">
        <f t="shared" si="49"/>
        <v>0</v>
      </c>
      <c r="P47" s="925"/>
      <c r="Q47" s="926"/>
      <c r="R47" s="599"/>
      <c r="S47" s="599"/>
      <c r="T47" s="599"/>
      <c r="U47" s="599"/>
      <c r="V47" s="599"/>
      <c r="W47" s="600"/>
      <c r="X47" s="601">
        <f t="shared" si="50"/>
        <v>0</v>
      </c>
      <c r="Y47" s="925"/>
      <c r="Z47" s="926"/>
      <c r="AA47" s="599"/>
      <c r="AB47" s="599"/>
      <c r="AC47" s="599"/>
      <c r="AD47" s="599"/>
      <c r="AE47" s="599"/>
      <c r="AF47" s="600"/>
      <c r="AG47" s="601">
        <f t="shared" si="51"/>
        <v>0</v>
      </c>
      <c r="AI47" s="577" t="str">
        <f t="shared" si="24"/>
        <v xml:space="preserve">Tarifa për trajtimin e mbetjeve inerte në landfille </v>
      </c>
      <c r="AJ47" s="602"/>
      <c r="AK47" s="563">
        <f t="shared" si="25"/>
        <v>0</v>
      </c>
      <c r="AL47" s="563">
        <f t="shared" si="26"/>
        <v>0</v>
      </c>
      <c r="AM47" s="563">
        <f t="shared" si="27"/>
        <v>0</v>
      </c>
      <c r="AN47" s="575" t="e">
        <f t="shared" ca="1" si="28"/>
        <v>#NAME?</v>
      </c>
      <c r="AO47" s="575" t="e">
        <f t="shared" ca="1" si="29"/>
        <v>#NAME?</v>
      </c>
      <c r="AP47" s="575" t="e">
        <f t="shared" ca="1" si="30"/>
        <v>#NAME?</v>
      </c>
      <c r="AQ47" s="575" t="e">
        <f t="shared" ca="1" si="31"/>
        <v>#NAME?</v>
      </c>
      <c r="AR47" s="575" t="e">
        <f t="shared" ca="1" si="32"/>
        <v>#NAME?</v>
      </c>
      <c r="AS47" s="575" t="e">
        <f t="shared" ca="1" si="33"/>
        <v>#NAME?</v>
      </c>
      <c r="AT47" s="735">
        <f>'(E1) Vlerësimi i burimeve'!O56</f>
        <v>0</v>
      </c>
      <c r="AU47" s="736" t="e">
        <f t="shared" ca="1" si="20"/>
        <v>#NAME?</v>
      </c>
      <c r="AV47" s="735">
        <f>'(E1) Vlerësimi i burimeve'!X56</f>
        <v>0</v>
      </c>
      <c r="AW47" s="736" t="e">
        <f t="shared" ca="1" si="21"/>
        <v>#NAME?</v>
      </c>
      <c r="AX47" s="735">
        <f>'(E1) Vlerësimi i burimeve'!AG56</f>
        <v>0</v>
      </c>
      <c r="AY47" s="736" t="e">
        <f t="shared" ca="1" si="22"/>
        <v>#NAME?</v>
      </c>
      <c r="AZ47" s="575" t="e">
        <f t="shared" ca="1" si="34"/>
        <v>#NAME?</v>
      </c>
      <c r="BA47" s="575" t="e">
        <f t="shared" ca="1" si="35"/>
        <v>#NAME?</v>
      </c>
      <c r="BB47" s="575" t="e">
        <f t="shared" ca="1" si="36"/>
        <v>#NAME?</v>
      </c>
    </row>
    <row r="48" spans="1:54" s="576" customFormat="1" ht="15.75" thickBot="1" x14ac:dyDescent="0.3">
      <c r="A48" s="605" t="str">
        <f>'(C2) Burimet viti kaluar'!C54</f>
        <v>A.3.5.12</v>
      </c>
      <c r="B48" s="927" t="str">
        <f>'(G1) Fjalori'!A265</f>
        <v>Tarifa për linjat ajrore dhe nëntoksore (Telefoni, Energji, TV Kabllor, Internet)</v>
      </c>
      <c r="C48" s="928"/>
      <c r="D48" s="598">
        <f>'(C2) Burimet viti kaluar'!D54</f>
        <v>0</v>
      </c>
      <c r="E48" s="598">
        <f>'(C2) Burimet viti kaluar'!E54</f>
        <v>0</v>
      </c>
      <c r="F48" s="598">
        <f>'(C2) Burimet viti kaluar'!F54</f>
        <v>0</v>
      </c>
      <c r="G48" s="925"/>
      <c r="H48" s="926"/>
      <c r="I48" s="599"/>
      <c r="J48" s="599"/>
      <c r="K48" s="599"/>
      <c r="L48" s="599"/>
      <c r="M48" s="599"/>
      <c r="N48" s="600"/>
      <c r="O48" s="601">
        <f t="shared" si="49"/>
        <v>0</v>
      </c>
      <c r="P48" s="925"/>
      <c r="Q48" s="926"/>
      <c r="R48" s="599"/>
      <c r="S48" s="599"/>
      <c r="T48" s="599"/>
      <c r="U48" s="599"/>
      <c r="V48" s="599"/>
      <c r="W48" s="600"/>
      <c r="X48" s="601">
        <f t="shared" si="50"/>
        <v>0</v>
      </c>
      <c r="Y48" s="925"/>
      <c r="Z48" s="926"/>
      <c r="AA48" s="599"/>
      <c r="AB48" s="599"/>
      <c r="AC48" s="599"/>
      <c r="AD48" s="599"/>
      <c r="AE48" s="599"/>
      <c r="AF48" s="600"/>
      <c r="AG48" s="601">
        <f t="shared" si="51"/>
        <v>0</v>
      </c>
      <c r="AI48" s="577" t="str">
        <f t="shared" si="24"/>
        <v>Tarifa për linjat ajrore dhe nëntoksore (Telefoni, Energji, TV Kabllor, Internet)</v>
      </c>
      <c r="AJ48" s="602"/>
      <c r="AK48" s="563">
        <f t="shared" si="25"/>
        <v>0</v>
      </c>
      <c r="AL48" s="563">
        <f t="shared" si="26"/>
        <v>0</v>
      </c>
      <c r="AM48" s="563">
        <f t="shared" si="27"/>
        <v>0</v>
      </c>
      <c r="AN48" s="575" t="e">
        <f t="shared" ca="1" si="28"/>
        <v>#NAME?</v>
      </c>
      <c r="AO48" s="575" t="e">
        <f t="shared" ca="1" si="29"/>
        <v>#NAME?</v>
      </c>
      <c r="AP48" s="575" t="e">
        <f t="shared" ca="1" si="30"/>
        <v>#NAME?</v>
      </c>
      <c r="AQ48" s="575" t="e">
        <f t="shared" ca="1" si="31"/>
        <v>#NAME?</v>
      </c>
      <c r="AR48" s="575" t="e">
        <f t="shared" ca="1" si="32"/>
        <v>#NAME?</v>
      </c>
      <c r="AS48" s="575" t="e">
        <f t="shared" ca="1" si="33"/>
        <v>#NAME?</v>
      </c>
      <c r="AT48" s="735">
        <f>'(E1) Vlerësimi i burimeve'!O57</f>
        <v>0</v>
      </c>
      <c r="AU48" s="736" t="e">
        <f t="shared" ca="1" si="20"/>
        <v>#NAME?</v>
      </c>
      <c r="AV48" s="735">
        <f>'(E1) Vlerësimi i burimeve'!X57</f>
        <v>0</v>
      </c>
      <c r="AW48" s="736" t="e">
        <f t="shared" ca="1" si="21"/>
        <v>#NAME?</v>
      </c>
      <c r="AX48" s="735">
        <f>'(E1) Vlerësimi i burimeve'!AG57</f>
        <v>0</v>
      </c>
      <c r="AY48" s="736" t="e">
        <f t="shared" ca="1" si="22"/>
        <v>#NAME?</v>
      </c>
      <c r="AZ48" s="575" t="e">
        <f t="shared" ca="1" si="34"/>
        <v>#NAME?</v>
      </c>
      <c r="BA48" s="575" t="e">
        <f t="shared" ca="1" si="35"/>
        <v>#NAME?</v>
      </c>
      <c r="BB48" s="575" t="e">
        <f t="shared" ca="1" si="36"/>
        <v>#NAME?</v>
      </c>
    </row>
    <row r="49" spans="1:54" s="576" customFormat="1" ht="15.75" thickBot="1" x14ac:dyDescent="0.3">
      <c r="A49" s="605" t="str">
        <f>'(C2) Burimet viti kaluar'!C55</f>
        <v>A.3.5.13</v>
      </c>
      <c r="B49" s="927" t="str">
        <f>'(G1) Fjalori'!A266</f>
        <v>Tarifa nga dokumentat për tender, ankand etj</v>
      </c>
      <c r="C49" s="928"/>
      <c r="D49" s="598">
        <f>'(C2) Burimet viti kaluar'!D55</f>
        <v>0</v>
      </c>
      <c r="E49" s="598">
        <f>'(C2) Burimet viti kaluar'!E55</f>
        <v>0</v>
      </c>
      <c r="F49" s="598">
        <f>'(C2) Burimet viti kaluar'!F55</f>
        <v>0</v>
      </c>
      <c r="G49" s="925"/>
      <c r="H49" s="926"/>
      <c r="I49" s="599"/>
      <c r="J49" s="599"/>
      <c r="K49" s="599"/>
      <c r="L49" s="599"/>
      <c r="M49" s="599"/>
      <c r="N49" s="600"/>
      <c r="O49" s="601">
        <f t="shared" si="49"/>
        <v>0</v>
      </c>
      <c r="P49" s="925"/>
      <c r="Q49" s="926"/>
      <c r="R49" s="599"/>
      <c r="S49" s="599"/>
      <c r="T49" s="599"/>
      <c r="U49" s="599"/>
      <c r="V49" s="599"/>
      <c r="W49" s="600"/>
      <c r="X49" s="601">
        <f t="shared" si="50"/>
        <v>0</v>
      </c>
      <c r="Y49" s="925"/>
      <c r="Z49" s="926"/>
      <c r="AA49" s="599"/>
      <c r="AB49" s="599"/>
      <c r="AC49" s="599"/>
      <c r="AD49" s="599"/>
      <c r="AE49" s="599"/>
      <c r="AF49" s="600"/>
      <c r="AG49" s="601">
        <f t="shared" si="51"/>
        <v>0</v>
      </c>
      <c r="AI49" s="577" t="str">
        <f t="shared" si="24"/>
        <v>Tarifa nga dokumentat për tender, ankand etj</v>
      </c>
      <c r="AJ49" s="602"/>
      <c r="AK49" s="563">
        <f t="shared" si="25"/>
        <v>0</v>
      </c>
      <c r="AL49" s="563">
        <f t="shared" si="26"/>
        <v>0</v>
      </c>
      <c r="AM49" s="563">
        <f t="shared" si="27"/>
        <v>0</v>
      </c>
      <c r="AN49" s="575" t="e">
        <f t="shared" ca="1" si="28"/>
        <v>#NAME?</v>
      </c>
      <c r="AO49" s="575" t="e">
        <f t="shared" ca="1" si="29"/>
        <v>#NAME?</v>
      </c>
      <c r="AP49" s="575" t="e">
        <f t="shared" ca="1" si="30"/>
        <v>#NAME?</v>
      </c>
      <c r="AQ49" s="575" t="e">
        <f t="shared" ca="1" si="31"/>
        <v>#NAME?</v>
      </c>
      <c r="AR49" s="575" t="e">
        <f t="shared" ca="1" si="32"/>
        <v>#NAME?</v>
      </c>
      <c r="AS49" s="575" t="e">
        <f t="shared" ca="1" si="33"/>
        <v>#NAME?</v>
      </c>
      <c r="AT49" s="735">
        <f>'(E1) Vlerësimi i burimeve'!O58</f>
        <v>0</v>
      </c>
      <c r="AU49" s="736" t="e">
        <f t="shared" ca="1" si="20"/>
        <v>#NAME?</v>
      </c>
      <c r="AV49" s="735">
        <f>'(E1) Vlerësimi i burimeve'!X58</f>
        <v>0</v>
      </c>
      <c r="AW49" s="736" t="e">
        <f t="shared" ca="1" si="21"/>
        <v>#NAME?</v>
      </c>
      <c r="AX49" s="735">
        <f>'(E1) Vlerësimi i burimeve'!AG58</f>
        <v>0</v>
      </c>
      <c r="AY49" s="736" t="e">
        <f t="shared" ca="1" si="22"/>
        <v>#NAME?</v>
      </c>
      <c r="AZ49" s="575" t="e">
        <f t="shared" ca="1" si="34"/>
        <v>#NAME?</v>
      </c>
      <c r="BA49" s="575" t="e">
        <f t="shared" ca="1" si="35"/>
        <v>#NAME?</v>
      </c>
      <c r="BB49" s="575" t="e">
        <f t="shared" ca="1" si="36"/>
        <v>#NAME?</v>
      </c>
    </row>
    <row r="50" spans="1:54" s="594" customFormat="1" ht="15.75" thickBot="1" x14ac:dyDescent="0.3">
      <c r="A50" s="595" t="str">
        <f>'(C2) Burimet viti kaluar'!C56</f>
        <v>A.3.6</v>
      </c>
      <c r="B50" s="607" t="str">
        <f>'(G1) Fjalori'!A267</f>
        <v>Tarifa të institucioneve të arsimit, kulturës, sportit etj</v>
      </c>
      <c r="C50" s="727"/>
      <c r="D50" s="605">
        <f>'(C2) Burimet viti kaluar'!D56</f>
        <v>6822</v>
      </c>
      <c r="E50" s="605">
        <f>'(C2) Burimet viti kaluar'!E56</f>
        <v>5035</v>
      </c>
      <c r="F50" s="605">
        <f>'(C2) Burimet viti kaluar'!F56</f>
        <v>7000</v>
      </c>
      <c r="G50" s="605"/>
      <c r="H50" s="608"/>
      <c r="I50" s="608"/>
      <c r="J50" s="608"/>
      <c r="K50" s="608"/>
      <c r="L50" s="608"/>
      <c r="M50" s="608"/>
      <c r="N50" s="609"/>
      <c r="O50" s="608">
        <f>SUM(O51:O59)</f>
        <v>7000</v>
      </c>
      <c r="P50" s="605"/>
      <c r="Q50" s="608"/>
      <c r="R50" s="608"/>
      <c r="S50" s="608"/>
      <c r="T50" s="608"/>
      <c r="U50" s="608"/>
      <c r="V50" s="608"/>
      <c r="W50" s="609"/>
      <c r="X50" s="608">
        <f>SUM(X51:X59)</f>
        <v>7000</v>
      </c>
      <c r="Y50" s="605"/>
      <c r="Z50" s="608"/>
      <c r="AA50" s="608"/>
      <c r="AB50" s="608"/>
      <c r="AC50" s="608"/>
      <c r="AD50" s="608"/>
      <c r="AE50" s="608"/>
      <c r="AF50" s="609"/>
      <c r="AG50" s="609">
        <f>SUM(AG51:AG59)</f>
        <v>7000</v>
      </c>
      <c r="AI50" s="577" t="str">
        <f t="shared" si="24"/>
        <v>Tarifa të institucioneve të arsimit, kulturës, sportit etj</v>
      </c>
      <c r="AJ50" s="602"/>
      <c r="AK50" s="563">
        <f t="shared" si="25"/>
        <v>6822</v>
      </c>
      <c r="AL50" s="563">
        <f t="shared" si="26"/>
        <v>5035</v>
      </c>
      <c r="AM50" s="563">
        <f t="shared" si="27"/>
        <v>7000</v>
      </c>
      <c r="AN50" s="575" t="e">
        <f t="shared" ca="1" si="28"/>
        <v>#NAME?</v>
      </c>
      <c r="AO50" s="575" t="e">
        <f t="shared" ca="1" si="29"/>
        <v>#NAME?</v>
      </c>
      <c r="AP50" s="575" t="e">
        <f t="shared" ca="1" si="30"/>
        <v>#NAME?</v>
      </c>
      <c r="AQ50" s="575" t="e">
        <f t="shared" ca="1" si="31"/>
        <v>#NAME?</v>
      </c>
      <c r="AR50" s="575" t="e">
        <f t="shared" ca="1" si="32"/>
        <v>#NAME?</v>
      </c>
      <c r="AS50" s="575" t="e">
        <f t="shared" ca="1" si="33"/>
        <v>#NAME?</v>
      </c>
      <c r="AT50" s="735">
        <f>'(E1) Vlerësimi i burimeve'!O59</f>
        <v>7260</v>
      </c>
      <c r="AU50" s="736" t="e">
        <f t="shared" ca="1" si="20"/>
        <v>#NAME?</v>
      </c>
      <c r="AV50" s="735">
        <f>'(E1) Vlerësimi i burimeve'!X59</f>
        <v>7260</v>
      </c>
      <c r="AW50" s="736" t="e">
        <f t="shared" ca="1" si="21"/>
        <v>#NAME?</v>
      </c>
      <c r="AX50" s="735">
        <f>'(E1) Vlerësimi i burimeve'!AG59</f>
        <v>7260</v>
      </c>
      <c r="AY50" s="736" t="e">
        <f t="shared" ca="1" si="22"/>
        <v>#NAME?</v>
      </c>
      <c r="AZ50" s="575" t="e">
        <f t="shared" ca="1" si="34"/>
        <v>#NAME?</v>
      </c>
      <c r="BA50" s="575" t="e">
        <f t="shared" ca="1" si="35"/>
        <v>#NAME?</v>
      </c>
      <c r="BB50" s="575" t="e">
        <f t="shared" ca="1" si="36"/>
        <v>#NAME?</v>
      </c>
    </row>
    <row r="51" spans="1:54" s="576" customFormat="1" ht="15.75" thickBot="1" x14ac:dyDescent="0.3">
      <c r="A51" s="605" t="str">
        <f>'(C2) Burimet viti kaluar'!C57</f>
        <v>A.3.6.1</v>
      </c>
      <c r="B51" s="927" t="str">
        <f>'(G1) Fjalori'!A268</f>
        <v>Bibloteka</v>
      </c>
      <c r="C51" s="928"/>
      <c r="D51" s="598">
        <f>'(C2) Burimet viti kaluar'!D57</f>
        <v>0</v>
      </c>
      <c r="E51" s="598">
        <f>'(C2) Burimet viti kaluar'!E57</f>
        <v>0</v>
      </c>
      <c r="F51" s="598">
        <f>'(C2) Burimet viti kaluar'!F57</f>
        <v>0</v>
      </c>
      <c r="G51" s="925"/>
      <c r="H51" s="926"/>
      <c r="I51" s="599"/>
      <c r="J51" s="599"/>
      <c r="K51" s="599"/>
      <c r="L51" s="599"/>
      <c r="M51" s="599"/>
      <c r="N51" s="600"/>
      <c r="O51" s="601">
        <f t="shared" ref="O51:O63" si="52">IF(F51&lt;&gt;0,F51*(1+(SUM(I51:M51))),N51)</f>
        <v>0</v>
      </c>
      <c r="P51" s="925"/>
      <c r="Q51" s="926"/>
      <c r="R51" s="599"/>
      <c r="S51" s="599"/>
      <c r="T51" s="599"/>
      <c r="U51" s="599"/>
      <c r="V51" s="599"/>
      <c r="W51" s="600"/>
      <c r="X51" s="601">
        <f t="shared" ref="X51:X63" si="53">IF(O51&lt;&gt;0,O51*(1+(SUM(R51:V51))),W51)</f>
        <v>0</v>
      </c>
      <c r="Y51" s="925"/>
      <c r="Z51" s="926"/>
      <c r="AA51" s="599"/>
      <c r="AB51" s="599"/>
      <c r="AC51" s="599"/>
      <c r="AD51" s="599"/>
      <c r="AE51" s="599"/>
      <c r="AF51" s="600"/>
      <c r="AG51" s="601">
        <f t="shared" ref="AG51:AG63" si="54">IF(X51&lt;&gt;0,X51*(1+(SUM(AA51:AE51))),AF51)</f>
        <v>0</v>
      </c>
      <c r="AI51" s="577" t="str">
        <f t="shared" si="24"/>
        <v>Bibloteka</v>
      </c>
      <c r="AJ51" s="602"/>
      <c r="AK51" s="563">
        <f t="shared" si="25"/>
        <v>0</v>
      </c>
      <c r="AL51" s="563">
        <f t="shared" si="26"/>
        <v>0</v>
      </c>
      <c r="AM51" s="563">
        <f t="shared" si="27"/>
        <v>0</v>
      </c>
      <c r="AN51" s="575" t="e">
        <f t="shared" ca="1" si="28"/>
        <v>#NAME?</v>
      </c>
      <c r="AO51" s="575" t="e">
        <f t="shared" ca="1" si="29"/>
        <v>#NAME?</v>
      </c>
      <c r="AP51" s="575" t="e">
        <f t="shared" ca="1" si="30"/>
        <v>#NAME?</v>
      </c>
      <c r="AQ51" s="575" t="e">
        <f t="shared" ca="1" si="31"/>
        <v>#NAME?</v>
      </c>
      <c r="AR51" s="575" t="e">
        <f t="shared" ca="1" si="32"/>
        <v>#NAME?</v>
      </c>
      <c r="AS51" s="575" t="e">
        <f t="shared" ca="1" si="33"/>
        <v>#NAME?</v>
      </c>
      <c r="AT51" s="735">
        <f>'(E1) Vlerësimi i burimeve'!O60</f>
        <v>0</v>
      </c>
      <c r="AU51" s="736" t="e">
        <f t="shared" ca="1" si="20"/>
        <v>#NAME?</v>
      </c>
      <c r="AV51" s="735">
        <f>'(E1) Vlerësimi i burimeve'!X60</f>
        <v>0</v>
      </c>
      <c r="AW51" s="736" t="e">
        <f t="shared" ca="1" si="21"/>
        <v>#NAME?</v>
      </c>
      <c r="AX51" s="735">
        <f>'(E1) Vlerësimi i burimeve'!AG60</f>
        <v>0</v>
      </c>
      <c r="AY51" s="736" t="e">
        <f t="shared" ca="1" si="22"/>
        <v>#NAME?</v>
      </c>
      <c r="AZ51" s="575" t="e">
        <f t="shared" ca="1" si="34"/>
        <v>#NAME?</v>
      </c>
      <c r="BA51" s="575" t="e">
        <f t="shared" ca="1" si="35"/>
        <v>#NAME?</v>
      </c>
      <c r="BB51" s="575" t="e">
        <f t="shared" ca="1" si="36"/>
        <v>#NAME?</v>
      </c>
    </row>
    <row r="52" spans="1:54" s="576" customFormat="1" ht="15.75" thickBot="1" x14ac:dyDescent="0.3">
      <c r="A52" s="605" t="str">
        <f>'(C2) Burimet viti kaluar'!C58</f>
        <v>A.3.6.2</v>
      </c>
      <c r="B52" s="927" t="str">
        <f>'(G1) Fjalori'!A269</f>
        <v>Muzeumet</v>
      </c>
      <c r="C52" s="928"/>
      <c r="D52" s="598">
        <f>'(C2) Burimet viti kaluar'!D58</f>
        <v>0</v>
      </c>
      <c r="E52" s="598">
        <f>'(C2) Burimet viti kaluar'!E58</f>
        <v>0</v>
      </c>
      <c r="F52" s="598">
        <f>'(C2) Burimet viti kaluar'!F58</f>
        <v>0</v>
      </c>
      <c r="G52" s="925"/>
      <c r="H52" s="926"/>
      <c r="I52" s="599"/>
      <c r="J52" s="599"/>
      <c r="K52" s="599"/>
      <c r="L52" s="599"/>
      <c r="M52" s="599"/>
      <c r="N52" s="600"/>
      <c r="O52" s="601">
        <f t="shared" si="52"/>
        <v>0</v>
      </c>
      <c r="P52" s="925"/>
      <c r="Q52" s="926"/>
      <c r="R52" s="599"/>
      <c r="S52" s="599"/>
      <c r="T52" s="599"/>
      <c r="U52" s="599"/>
      <c r="V52" s="599"/>
      <c r="W52" s="600"/>
      <c r="X52" s="601">
        <f t="shared" si="53"/>
        <v>0</v>
      </c>
      <c r="Y52" s="925"/>
      <c r="Z52" s="926"/>
      <c r="AA52" s="599"/>
      <c r="AB52" s="599"/>
      <c r="AC52" s="599"/>
      <c r="AD52" s="599"/>
      <c r="AE52" s="599"/>
      <c r="AF52" s="600"/>
      <c r="AG52" s="601">
        <f t="shared" si="54"/>
        <v>0</v>
      </c>
      <c r="AI52" s="577" t="str">
        <f t="shared" si="24"/>
        <v>Muzeumet</v>
      </c>
      <c r="AJ52" s="602"/>
      <c r="AK52" s="563">
        <f t="shared" si="25"/>
        <v>0</v>
      </c>
      <c r="AL52" s="563">
        <f t="shared" si="26"/>
        <v>0</v>
      </c>
      <c r="AM52" s="563">
        <f t="shared" si="27"/>
        <v>0</v>
      </c>
      <c r="AN52" s="575" t="e">
        <f t="shared" ca="1" si="28"/>
        <v>#NAME?</v>
      </c>
      <c r="AO52" s="575" t="e">
        <f t="shared" ca="1" si="29"/>
        <v>#NAME?</v>
      </c>
      <c r="AP52" s="575" t="e">
        <f t="shared" ca="1" si="30"/>
        <v>#NAME?</v>
      </c>
      <c r="AQ52" s="575" t="e">
        <f t="shared" ca="1" si="31"/>
        <v>#NAME?</v>
      </c>
      <c r="AR52" s="575" t="e">
        <f t="shared" ca="1" si="32"/>
        <v>#NAME?</v>
      </c>
      <c r="AS52" s="575" t="e">
        <f t="shared" ca="1" si="33"/>
        <v>#NAME?</v>
      </c>
      <c r="AT52" s="735">
        <f>'(E1) Vlerësimi i burimeve'!O61</f>
        <v>0</v>
      </c>
      <c r="AU52" s="736" t="e">
        <f t="shared" ca="1" si="20"/>
        <v>#NAME?</v>
      </c>
      <c r="AV52" s="735">
        <f>'(E1) Vlerësimi i burimeve'!X61</f>
        <v>0</v>
      </c>
      <c r="AW52" s="736" t="e">
        <f t="shared" ca="1" si="21"/>
        <v>#NAME?</v>
      </c>
      <c r="AX52" s="735">
        <f>'(E1) Vlerësimi i burimeve'!AG61</f>
        <v>0</v>
      </c>
      <c r="AY52" s="736" t="e">
        <f t="shared" ca="1" si="22"/>
        <v>#NAME?</v>
      </c>
      <c r="AZ52" s="575" t="e">
        <f t="shared" ca="1" si="34"/>
        <v>#NAME?</v>
      </c>
      <c r="BA52" s="575" t="e">
        <f t="shared" ca="1" si="35"/>
        <v>#NAME?</v>
      </c>
      <c r="BB52" s="575" t="e">
        <f t="shared" ca="1" si="36"/>
        <v>#NAME?</v>
      </c>
    </row>
    <row r="53" spans="1:54" s="576" customFormat="1" ht="15.75" thickBot="1" x14ac:dyDescent="0.3">
      <c r="A53" s="605" t="str">
        <f>'(C2) Burimet viti kaluar'!C59</f>
        <v>A.3.6.3</v>
      </c>
      <c r="B53" s="927" t="str">
        <f>'(G1) Fjalori'!A270</f>
        <v>Teatri</v>
      </c>
      <c r="C53" s="928"/>
      <c r="D53" s="598">
        <f>'(C2) Burimet viti kaluar'!D59</f>
        <v>0</v>
      </c>
      <c r="E53" s="598">
        <f>'(C2) Burimet viti kaluar'!E59</f>
        <v>0</v>
      </c>
      <c r="F53" s="598">
        <f>'(C2) Burimet viti kaluar'!F59</f>
        <v>0</v>
      </c>
      <c r="G53" s="925"/>
      <c r="H53" s="926"/>
      <c r="I53" s="599"/>
      <c r="J53" s="599"/>
      <c r="K53" s="599"/>
      <c r="L53" s="599"/>
      <c r="M53" s="599"/>
      <c r="N53" s="600"/>
      <c r="O53" s="601">
        <f t="shared" si="52"/>
        <v>0</v>
      </c>
      <c r="P53" s="925"/>
      <c r="Q53" s="926"/>
      <c r="R53" s="599"/>
      <c r="S53" s="599"/>
      <c r="T53" s="599"/>
      <c r="U53" s="599"/>
      <c r="V53" s="599"/>
      <c r="W53" s="600"/>
      <c r="X53" s="601">
        <f t="shared" si="53"/>
        <v>0</v>
      </c>
      <c r="Y53" s="925"/>
      <c r="Z53" s="926"/>
      <c r="AA53" s="599"/>
      <c r="AB53" s="599"/>
      <c r="AC53" s="599"/>
      <c r="AD53" s="599"/>
      <c r="AE53" s="599"/>
      <c r="AF53" s="600"/>
      <c r="AG53" s="601">
        <f t="shared" si="54"/>
        <v>0</v>
      </c>
      <c r="AI53" s="577" t="str">
        <f t="shared" si="24"/>
        <v>Teatri</v>
      </c>
      <c r="AJ53" s="602"/>
      <c r="AK53" s="563">
        <f t="shared" si="25"/>
        <v>0</v>
      </c>
      <c r="AL53" s="563">
        <f t="shared" si="26"/>
        <v>0</v>
      </c>
      <c r="AM53" s="563">
        <f t="shared" si="27"/>
        <v>0</v>
      </c>
      <c r="AN53" s="575" t="e">
        <f t="shared" ca="1" si="28"/>
        <v>#NAME?</v>
      </c>
      <c r="AO53" s="575" t="e">
        <f t="shared" ca="1" si="29"/>
        <v>#NAME?</v>
      </c>
      <c r="AP53" s="575" t="e">
        <f t="shared" ca="1" si="30"/>
        <v>#NAME?</v>
      </c>
      <c r="AQ53" s="575" t="e">
        <f t="shared" ca="1" si="31"/>
        <v>#NAME?</v>
      </c>
      <c r="AR53" s="575" t="e">
        <f t="shared" ca="1" si="32"/>
        <v>#NAME?</v>
      </c>
      <c r="AS53" s="575" t="e">
        <f t="shared" ca="1" si="33"/>
        <v>#NAME?</v>
      </c>
      <c r="AT53" s="735">
        <f>'(E1) Vlerësimi i burimeve'!O62</f>
        <v>0</v>
      </c>
      <c r="AU53" s="736" t="e">
        <f t="shared" ca="1" si="20"/>
        <v>#NAME?</v>
      </c>
      <c r="AV53" s="735">
        <f>'(E1) Vlerësimi i burimeve'!X62</f>
        <v>0</v>
      </c>
      <c r="AW53" s="736" t="e">
        <f t="shared" ca="1" si="21"/>
        <v>#NAME?</v>
      </c>
      <c r="AX53" s="735">
        <f>'(E1) Vlerësimi i burimeve'!AG62</f>
        <v>0</v>
      </c>
      <c r="AY53" s="736" t="e">
        <f t="shared" ca="1" si="22"/>
        <v>#NAME?</v>
      </c>
      <c r="AZ53" s="575" t="e">
        <f t="shared" ca="1" si="34"/>
        <v>#NAME?</v>
      </c>
      <c r="BA53" s="575" t="e">
        <f t="shared" ca="1" si="35"/>
        <v>#NAME?</v>
      </c>
      <c r="BB53" s="575" t="e">
        <f t="shared" ca="1" si="36"/>
        <v>#NAME?</v>
      </c>
    </row>
    <row r="54" spans="1:54" s="576" customFormat="1" ht="15.75" thickBot="1" x14ac:dyDescent="0.3">
      <c r="A54" s="605" t="str">
        <f>'(C2) Burimet viti kaluar'!C60</f>
        <v>A.3.6.4</v>
      </c>
      <c r="B54" s="927" t="str">
        <f>'(G1) Fjalori'!A271</f>
        <v>Qendra kulturore e fëmijëve</v>
      </c>
      <c r="C54" s="928"/>
      <c r="D54" s="598">
        <f>'(C2) Burimet viti kaluar'!D60</f>
        <v>0</v>
      </c>
      <c r="E54" s="598">
        <f>'(C2) Burimet viti kaluar'!E60</f>
        <v>0</v>
      </c>
      <c r="F54" s="598">
        <f>'(C2) Burimet viti kaluar'!F60</f>
        <v>0</v>
      </c>
      <c r="G54" s="925"/>
      <c r="H54" s="926"/>
      <c r="I54" s="599"/>
      <c r="J54" s="599"/>
      <c r="K54" s="599"/>
      <c r="L54" s="599"/>
      <c r="M54" s="599"/>
      <c r="N54" s="600"/>
      <c r="O54" s="601">
        <f t="shared" si="52"/>
        <v>0</v>
      </c>
      <c r="P54" s="925"/>
      <c r="Q54" s="926"/>
      <c r="R54" s="599"/>
      <c r="S54" s="599"/>
      <c r="T54" s="599"/>
      <c r="U54" s="599"/>
      <c r="V54" s="599"/>
      <c r="W54" s="600"/>
      <c r="X54" s="601">
        <f t="shared" si="53"/>
        <v>0</v>
      </c>
      <c r="Y54" s="925"/>
      <c r="Z54" s="926"/>
      <c r="AA54" s="599"/>
      <c r="AB54" s="599"/>
      <c r="AC54" s="599"/>
      <c r="AD54" s="599"/>
      <c r="AE54" s="599"/>
      <c r="AF54" s="600"/>
      <c r="AG54" s="601">
        <f t="shared" si="54"/>
        <v>0</v>
      </c>
      <c r="AI54" s="577" t="str">
        <f t="shared" si="24"/>
        <v>Qendra kulturore e fëmijëve</v>
      </c>
      <c r="AJ54" s="602"/>
      <c r="AK54" s="563">
        <f t="shared" si="25"/>
        <v>0</v>
      </c>
      <c r="AL54" s="563">
        <f t="shared" si="26"/>
        <v>0</v>
      </c>
      <c r="AM54" s="563">
        <f t="shared" si="27"/>
        <v>0</v>
      </c>
      <c r="AN54" s="575" t="e">
        <f t="shared" ca="1" si="28"/>
        <v>#NAME?</v>
      </c>
      <c r="AO54" s="575" t="e">
        <f t="shared" ca="1" si="29"/>
        <v>#NAME?</v>
      </c>
      <c r="AP54" s="575" t="e">
        <f t="shared" ca="1" si="30"/>
        <v>#NAME?</v>
      </c>
      <c r="AQ54" s="575" t="e">
        <f t="shared" ca="1" si="31"/>
        <v>#NAME?</v>
      </c>
      <c r="AR54" s="575" t="e">
        <f t="shared" ca="1" si="32"/>
        <v>#NAME?</v>
      </c>
      <c r="AS54" s="575" t="e">
        <f t="shared" ca="1" si="33"/>
        <v>#NAME?</v>
      </c>
      <c r="AT54" s="735">
        <f>'(E1) Vlerësimi i burimeve'!O63</f>
        <v>0</v>
      </c>
      <c r="AU54" s="736" t="e">
        <f t="shared" ca="1" si="20"/>
        <v>#NAME?</v>
      </c>
      <c r="AV54" s="735">
        <f>'(E1) Vlerësimi i burimeve'!X63</f>
        <v>0</v>
      </c>
      <c r="AW54" s="736" t="e">
        <f t="shared" ca="1" si="21"/>
        <v>#NAME?</v>
      </c>
      <c r="AX54" s="735">
        <f>'(E1) Vlerësimi i burimeve'!AG63</f>
        <v>0</v>
      </c>
      <c r="AY54" s="736" t="e">
        <f t="shared" ca="1" si="22"/>
        <v>#NAME?</v>
      </c>
      <c r="AZ54" s="575" t="e">
        <f t="shared" ca="1" si="34"/>
        <v>#NAME?</v>
      </c>
      <c r="BA54" s="575" t="e">
        <f t="shared" ca="1" si="35"/>
        <v>#NAME?</v>
      </c>
      <c r="BB54" s="575" t="e">
        <f t="shared" ca="1" si="36"/>
        <v>#NAME?</v>
      </c>
    </row>
    <row r="55" spans="1:54" s="576" customFormat="1" ht="15.75" thickBot="1" x14ac:dyDescent="0.3">
      <c r="A55" s="605" t="str">
        <f>'(C2) Burimet viti kaluar'!C61</f>
        <v>A.3.6.5</v>
      </c>
      <c r="B55" s="927" t="str">
        <f>'(G1) Fjalori'!A272</f>
        <v>Pallati i sportit</v>
      </c>
      <c r="C55" s="928"/>
      <c r="D55" s="598">
        <f>'(C2) Burimet viti kaluar'!D61</f>
        <v>0</v>
      </c>
      <c r="E55" s="598">
        <f>'(C2) Burimet viti kaluar'!E61</f>
        <v>0</v>
      </c>
      <c r="F55" s="598">
        <f>'(C2) Burimet viti kaluar'!F61</f>
        <v>0</v>
      </c>
      <c r="G55" s="925"/>
      <c r="H55" s="926"/>
      <c r="I55" s="599"/>
      <c r="J55" s="599">
        <v>0.05</v>
      </c>
      <c r="K55" s="599">
        <v>0.05</v>
      </c>
      <c r="L55" s="599"/>
      <c r="M55" s="599"/>
      <c r="N55" s="600"/>
      <c r="O55" s="601">
        <f t="shared" si="52"/>
        <v>0</v>
      </c>
      <c r="P55" s="925"/>
      <c r="Q55" s="926"/>
      <c r="R55" s="599"/>
      <c r="S55" s="599"/>
      <c r="T55" s="599"/>
      <c r="U55" s="599"/>
      <c r="V55" s="599"/>
      <c r="W55" s="600"/>
      <c r="X55" s="601">
        <f t="shared" si="53"/>
        <v>0</v>
      </c>
      <c r="Y55" s="925"/>
      <c r="Z55" s="926"/>
      <c r="AA55" s="599"/>
      <c r="AB55" s="599"/>
      <c r="AC55" s="599"/>
      <c r="AD55" s="599"/>
      <c r="AE55" s="599">
        <v>0.08</v>
      </c>
      <c r="AF55" s="600"/>
      <c r="AG55" s="601">
        <f t="shared" si="54"/>
        <v>0</v>
      </c>
      <c r="AI55" s="577" t="str">
        <f t="shared" si="24"/>
        <v>Pallati i sportit</v>
      </c>
      <c r="AJ55" s="602"/>
      <c r="AK55" s="563">
        <f t="shared" si="25"/>
        <v>0</v>
      </c>
      <c r="AL55" s="563">
        <f t="shared" si="26"/>
        <v>0</v>
      </c>
      <c r="AM55" s="563">
        <f t="shared" si="27"/>
        <v>0</v>
      </c>
      <c r="AN55" s="575" t="e">
        <f t="shared" ca="1" si="28"/>
        <v>#NAME?</v>
      </c>
      <c r="AO55" s="575" t="e">
        <f t="shared" ca="1" si="29"/>
        <v>#NAME?</v>
      </c>
      <c r="AP55" s="575" t="e">
        <f t="shared" ca="1" si="30"/>
        <v>#NAME?</v>
      </c>
      <c r="AQ55" s="575" t="e">
        <f t="shared" ca="1" si="31"/>
        <v>#NAME?</v>
      </c>
      <c r="AR55" s="575" t="e">
        <f t="shared" ca="1" si="32"/>
        <v>#NAME?</v>
      </c>
      <c r="AS55" s="575" t="e">
        <f t="shared" ca="1" si="33"/>
        <v>#NAME?</v>
      </c>
      <c r="AT55" s="735">
        <f>'(E1) Vlerësimi i burimeve'!O64</f>
        <v>0</v>
      </c>
      <c r="AU55" s="736" t="e">
        <f t="shared" ca="1" si="20"/>
        <v>#NAME?</v>
      </c>
      <c r="AV55" s="735">
        <f>'(E1) Vlerësimi i burimeve'!X64</f>
        <v>0</v>
      </c>
      <c r="AW55" s="736" t="e">
        <f t="shared" ca="1" si="21"/>
        <v>#NAME?</v>
      </c>
      <c r="AX55" s="735">
        <f>'(E1) Vlerësimi i burimeve'!AG64</f>
        <v>0</v>
      </c>
      <c r="AY55" s="736" t="e">
        <f t="shared" ca="1" si="22"/>
        <v>#NAME?</v>
      </c>
      <c r="AZ55" s="575" t="e">
        <f t="shared" ca="1" si="34"/>
        <v>#NAME?</v>
      </c>
      <c r="BA55" s="575" t="e">
        <f t="shared" ca="1" si="35"/>
        <v>#NAME?</v>
      </c>
      <c r="BB55" s="575" t="e">
        <f t="shared" ca="1" si="36"/>
        <v>#NAME?</v>
      </c>
    </row>
    <row r="56" spans="1:54" s="576" customFormat="1" ht="15.75" thickBot="1" x14ac:dyDescent="0.3">
      <c r="A56" s="605" t="str">
        <f>'(C2) Burimet viti kaluar'!C62</f>
        <v>A.3.6.6</v>
      </c>
      <c r="B56" s="927" t="str">
        <f>'(G1) Fjalori'!A273</f>
        <v>Qendra Komunitare</v>
      </c>
      <c r="C56" s="928"/>
      <c r="D56" s="598">
        <f>'(C2) Burimet viti kaluar'!D62</f>
        <v>0</v>
      </c>
      <c r="E56" s="598">
        <f>'(C2) Burimet viti kaluar'!E62</f>
        <v>0</v>
      </c>
      <c r="F56" s="598">
        <f>'(C2) Burimet viti kaluar'!F62</f>
        <v>0</v>
      </c>
      <c r="G56" s="925"/>
      <c r="H56" s="926"/>
      <c r="I56" s="599"/>
      <c r="J56" s="599"/>
      <c r="K56" s="599"/>
      <c r="L56" s="599"/>
      <c r="M56" s="599"/>
      <c r="N56" s="600"/>
      <c r="O56" s="601">
        <f t="shared" si="52"/>
        <v>0</v>
      </c>
      <c r="P56" s="925"/>
      <c r="Q56" s="926"/>
      <c r="R56" s="599"/>
      <c r="S56" s="599"/>
      <c r="T56" s="599"/>
      <c r="U56" s="599"/>
      <c r="V56" s="599"/>
      <c r="W56" s="600"/>
      <c r="X56" s="601">
        <f t="shared" si="53"/>
        <v>0</v>
      </c>
      <c r="Y56" s="925"/>
      <c r="Z56" s="926"/>
      <c r="AA56" s="599"/>
      <c r="AB56" s="599"/>
      <c r="AC56" s="599"/>
      <c r="AD56" s="599"/>
      <c r="AE56" s="599"/>
      <c r="AF56" s="600"/>
      <c r="AG56" s="601">
        <f t="shared" si="54"/>
        <v>0</v>
      </c>
      <c r="AI56" s="577" t="str">
        <f t="shared" si="24"/>
        <v>Qendra Komunitare</v>
      </c>
      <c r="AJ56" s="602"/>
      <c r="AK56" s="563">
        <f t="shared" si="25"/>
        <v>0</v>
      </c>
      <c r="AL56" s="563">
        <f t="shared" si="26"/>
        <v>0</v>
      </c>
      <c r="AM56" s="563">
        <f t="shared" si="27"/>
        <v>0</v>
      </c>
      <c r="AN56" s="575" t="e">
        <f t="shared" ca="1" si="28"/>
        <v>#NAME?</v>
      </c>
      <c r="AO56" s="575" t="e">
        <f t="shared" ca="1" si="29"/>
        <v>#NAME?</v>
      </c>
      <c r="AP56" s="575" t="e">
        <f t="shared" ca="1" si="30"/>
        <v>#NAME?</v>
      </c>
      <c r="AQ56" s="575" t="e">
        <f t="shared" ca="1" si="31"/>
        <v>#NAME?</v>
      </c>
      <c r="AR56" s="575" t="e">
        <f t="shared" ca="1" si="32"/>
        <v>#NAME?</v>
      </c>
      <c r="AS56" s="575" t="e">
        <f t="shared" ca="1" si="33"/>
        <v>#NAME?</v>
      </c>
      <c r="AT56" s="735">
        <f>'(E1) Vlerësimi i burimeve'!O65</f>
        <v>0</v>
      </c>
      <c r="AU56" s="736" t="e">
        <f t="shared" ca="1" si="20"/>
        <v>#NAME?</v>
      </c>
      <c r="AV56" s="735">
        <f>'(E1) Vlerësimi i burimeve'!X65</f>
        <v>0</v>
      </c>
      <c r="AW56" s="736" t="e">
        <f t="shared" ca="1" si="21"/>
        <v>#NAME?</v>
      </c>
      <c r="AX56" s="735">
        <f>'(E1) Vlerësimi i burimeve'!AG65</f>
        <v>0</v>
      </c>
      <c r="AY56" s="736" t="e">
        <f t="shared" ca="1" si="22"/>
        <v>#NAME?</v>
      </c>
      <c r="AZ56" s="575" t="e">
        <f t="shared" ca="1" si="34"/>
        <v>#NAME?</v>
      </c>
      <c r="BA56" s="575" t="e">
        <f t="shared" ca="1" si="35"/>
        <v>#NAME?</v>
      </c>
      <c r="BB56" s="575" t="e">
        <f t="shared" ca="1" si="36"/>
        <v>#NAME?</v>
      </c>
    </row>
    <row r="57" spans="1:54" s="576" customFormat="1" ht="15.75" thickBot="1" x14ac:dyDescent="0.3">
      <c r="A57" s="605" t="str">
        <f>'(C2) Burimet viti kaluar'!C63</f>
        <v>A.3.6.7</v>
      </c>
      <c r="B57" s="927" t="str">
        <f>'(G1) Fjalori'!A274</f>
        <v>Mensa (Konviktet)</v>
      </c>
      <c r="C57" s="928"/>
      <c r="D57" s="598">
        <f>'(C2) Burimet viti kaluar'!D63</f>
        <v>132</v>
      </c>
      <c r="E57" s="598">
        <f>'(C2) Burimet viti kaluar'!E63</f>
        <v>0</v>
      </c>
      <c r="F57" s="598">
        <f>'(C2) Burimet viti kaluar'!F63</f>
        <v>0</v>
      </c>
      <c r="G57" s="925"/>
      <c r="H57" s="926"/>
      <c r="I57" s="599"/>
      <c r="J57" s="599"/>
      <c r="K57" s="599"/>
      <c r="L57" s="599"/>
      <c r="M57" s="599"/>
      <c r="N57" s="600"/>
      <c r="O57" s="601">
        <f t="shared" si="52"/>
        <v>0</v>
      </c>
      <c r="P57" s="925"/>
      <c r="Q57" s="926"/>
      <c r="R57" s="599"/>
      <c r="S57" s="599"/>
      <c r="T57" s="599"/>
      <c r="U57" s="599"/>
      <c r="V57" s="599"/>
      <c r="W57" s="600"/>
      <c r="X57" s="601">
        <f t="shared" si="53"/>
        <v>0</v>
      </c>
      <c r="Y57" s="925"/>
      <c r="Z57" s="926"/>
      <c r="AA57" s="599"/>
      <c r="AB57" s="599"/>
      <c r="AC57" s="599"/>
      <c r="AD57" s="599"/>
      <c r="AE57" s="599"/>
      <c r="AF57" s="600"/>
      <c r="AG57" s="601">
        <f t="shared" si="54"/>
        <v>0</v>
      </c>
      <c r="AI57" s="577" t="str">
        <f t="shared" si="24"/>
        <v>Mensa (Konviktet)</v>
      </c>
      <c r="AJ57" s="602"/>
      <c r="AK57" s="563">
        <f t="shared" si="25"/>
        <v>132</v>
      </c>
      <c r="AL57" s="563">
        <f t="shared" si="26"/>
        <v>0</v>
      </c>
      <c r="AM57" s="563">
        <f t="shared" si="27"/>
        <v>0</v>
      </c>
      <c r="AN57" s="575" t="e">
        <f t="shared" ca="1" si="28"/>
        <v>#NAME?</v>
      </c>
      <c r="AO57" s="575" t="e">
        <f t="shared" ca="1" si="29"/>
        <v>#NAME?</v>
      </c>
      <c r="AP57" s="575" t="e">
        <f t="shared" ca="1" si="30"/>
        <v>#NAME?</v>
      </c>
      <c r="AQ57" s="575" t="e">
        <f t="shared" ca="1" si="31"/>
        <v>#NAME?</v>
      </c>
      <c r="AR57" s="575" t="e">
        <f t="shared" ca="1" si="32"/>
        <v>#NAME?</v>
      </c>
      <c r="AS57" s="575" t="e">
        <f t="shared" ca="1" si="33"/>
        <v>#NAME?</v>
      </c>
      <c r="AT57" s="735">
        <f>'(E1) Vlerësimi i burimeve'!O66</f>
        <v>0</v>
      </c>
      <c r="AU57" s="736" t="e">
        <f t="shared" ca="1" si="20"/>
        <v>#NAME?</v>
      </c>
      <c r="AV57" s="735">
        <f>'(E1) Vlerësimi i burimeve'!X66</f>
        <v>0</v>
      </c>
      <c r="AW57" s="736" t="e">
        <f t="shared" ca="1" si="21"/>
        <v>#NAME?</v>
      </c>
      <c r="AX57" s="735">
        <f>'(E1) Vlerësimi i burimeve'!AG66</f>
        <v>0</v>
      </c>
      <c r="AY57" s="736" t="e">
        <f t="shared" ca="1" si="22"/>
        <v>#NAME?</v>
      </c>
      <c r="AZ57" s="575" t="e">
        <f t="shared" ca="1" si="34"/>
        <v>#NAME?</v>
      </c>
      <c r="BA57" s="575" t="e">
        <f t="shared" ca="1" si="35"/>
        <v>#NAME?</v>
      </c>
      <c r="BB57" s="575" t="e">
        <f t="shared" ca="1" si="36"/>
        <v>#NAME?</v>
      </c>
    </row>
    <row r="58" spans="1:54" s="576" customFormat="1" ht="15.75" thickBot="1" x14ac:dyDescent="0.3">
      <c r="A58" s="605" t="str">
        <f>'(C2) Burimet viti kaluar'!C64</f>
        <v>A.3.6.8</v>
      </c>
      <c r="B58" s="927" t="str">
        <f>'(G1) Fjalori'!A275</f>
        <v>Kopshtet</v>
      </c>
      <c r="C58" s="928"/>
      <c r="D58" s="598">
        <f>'(C2) Burimet viti kaluar'!D64</f>
        <v>4945</v>
      </c>
      <c r="E58" s="598">
        <f>'(C2) Burimet viti kaluar'!E64</f>
        <v>3546</v>
      </c>
      <c r="F58" s="598">
        <f>'(C2) Burimet viti kaluar'!F64</f>
        <v>5000</v>
      </c>
      <c r="G58" s="925"/>
      <c r="H58" s="926"/>
      <c r="I58" s="599"/>
      <c r="J58" s="599"/>
      <c r="K58" s="599"/>
      <c r="L58" s="599"/>
      <c r="M58" s="599"/>
      <c r="N58" s="600"/>
      <c r="O58" s="601">
        <f t="shared" si="52"/>
        <v>5000</v>
      </c>
      <c r="P58" s="925"/>
      <c r="Q58" s="926"/>
      <c r="R58" s="599"/>
      <c r="S58" s="599"/>
      <c r="T58" s="599"/>
      <c r="U58" s="599"/>
      <c r="V58" s="599"/>
      <c r="W58" s="600"/>
      <c r="X58" s="601">
        <f t="shared" si="53"/>
        <v>5000</v>
      </c>
      <c r="Y58" s="925"/>
      <c r="Z58" s="926"/>
      <c r="AA58" s="599"/>
      <c r="AB58" s="599"/>
      <c r="AC58" s="599"/>
      <c r="AD58" s="599"/>
      <c r="AE58" s="599"/>
      <c r="AF58" s="600"/>
      <c r="AG58" s="601">
        <f t="shared" si="54"/>
        <v>5000</v>
      </c>
      <c r="AI58" s="577" t="str">
        <f t="shared" si="24"/>
        <v>Kopshtet</v>
      </c>
      <c r="AJ58" s="602"/>
      <c r="AK58" s="563">
        <f t="shared" si="25"/>
        <v>4945</v>
      </c>
      <c r="AL58" s="563">
        <f t="shared" si="26"/>
        <v>3546</v>
      </c>
      <c r="AM58" s="563">
        <f t="shared" si="27"/>
        <v>5000</v>
      </c>
      <c r="AN58" s="575" t="e">
        <f t="shared" ca="1" si="28"/>
        <v>#NAME?</v>
      </c>
      <c r="AO58" s="575" t="e">
        <f t="shared" ca="1" si="29"/>
        <v>#NAME?</v>
      </c>
      <c r="AP58" s="575" t="e">
        <f t="shared" ca="1" si="30"/>
        <v>#NAME?</v>
      </c>
      <c r="AQ58" s="575" t="e">
        <f t="shared" ca="1" si="31"/>
        <v>#NAME?</v>
      </c>
      <c r="AR58" s="575" t="e">
        <f t="shared" ca="1" si="32"/>
        <v>#NAME?</v>
      </c>
      <c r="AS58" s="575" t="e">
        <f t="shared" ca="1" si="33"/>
        <v>#NAME?</v>
      </c>
      <c r="AT58" s="735">
        <f>'(E1) Vlerësimi i burimeve'!O67</f>
        <v>5100</v>
      </c>
      <c r="AU58" s="736" t="e">
        <f t="shared" ca="1" si="20"/>
        <v>#NAME?</v>
      </c>
      <c r="AV58" s="735">
        <f>'(E1) Vlerësimi i burimeve'!X67</f>
        <v>5100</v>
      </c>
      <c r="AW58" s="736" t="e">
        <f t="shared" ca="1" si="21"/>
        <v>#NAME?</v>
      </c>
      <c r="AX58" s="735">
        <f>'(E1) Vlerësimi i burimeve'!AG67</f>
        <v>5100</v>
      </c>
      <c r="AY58" s="736" t="e">
        <f t="shared" ca="1" si="22"/>
        <v>#NAME?</v>
      </c>
      <c r="AZ58" s="575" t="e">
        <f t="shared" ca="1" si="34"/>
        <v>#NAME?</v>
      </c>
      <c r="BA58" s="575" t="e">
        <f t="shared" ca="1" si="35"/>
        <v>#NAME?</v>
      </c>
      <c r="BB58" s="575" t="e">
        <f t="shared" ca="1" si="36"/>
        <v>#NAME?</v>
      </c>
    </row>
    <row r="59" spans="1:54" s="576" customFormat="1" ht="15.75" thickBot="1" x14ac:dyDescent="0.3">
      <c r="A59" s="605" t="str">
        <f>'(C2) Burimet viti kaluar'!C65</f>
        <v>A.3.6.9</v>
      </c>
      <c r="B59" s="927" t="str">
        <f>'(G1) Fjalori'!A276</f>
        <v>Çerdhet</v>
      </c>
      <c r="C59" s="928"/>
      <c r="D59" s="598">
        <f>'(C2) Burimet viti kaluar'!D65</f>
        <v>1745</v>
      </c>
      <c r="E59" s="598">
        <f>'(C2) Burimet viti kaluar'!E65</f>
        <v>1489</v>
      </c>
      <c r="F59" s="598">
        <f>'(C2) Burimet viti kaluar'!F65</f>
        <v>2000</v>
      </c>
      <c r="G59" s="925"/>
      <c r="H59" s="926"/>
      <c r="I59" s="599"/>
      <c r="J59" s="599"/>
      <c r="K59" s="599"/>
      <c r="L59" s="599"/>
      <c r="M59" s="599"/>
      <c r="N59" s="600"/>
      <c r="O59" s="601">
        <f t="shared" si="52"/>
        <v>2000</v>
      </c>
      <c r="P59" s="925"/>
      <c r="Q59" s="926"/>
      <c r="R59" s="599"/>
      <c r="S59" s="599"/>
      <c r="T59" s="599"/>
      <c r="U59" s="599"/>
      <c r="V59" s="599"/>
      <c r="W59" s="600"/>
      <c r="X59" s="601">
        <f t="shared" si="53"/>
        <v>2000</v>
      </c>
      <c r="Y59" s="925"/>
      <c r="Z59" s="926"/>
      <c r="AA59" s="599"/>
      <c r="AB59" s="599"/>
      <c r="AC59" s="599"/>
      <c r="AD59" s="599"/>
      <c r="AE59" s="599"/>
      <c r="AF59" s="600"/>
      <c r="AG59" s="601">
        <f t="shared" si="54"/>
        <v>2000</v>
      </c>
      <c r="AI59" s="577" t="str">
        <f t="shared" si="24"/>
        <v>Çerdhet</v>
      </c>
      <c r="AJ59" s="602"/>
      <c r="AK59" s="563">
        <f t="shared" si="25"/>
        <v>1745</v>
      </c>
      <c r="AL59" s="563">
        <f t="shared" si="26"/>
        <v>1489</v>
      </c>
      <c r="AM59" s="563">
        <f t="shared" si="27"/>
        <v>2000</v>
      </c>
      <c r="AN59" s="575" t="e">
        <f t="shared" ca="1" si="28"/>
        <v>#NAME?</v>
      </c>
      <c r="AO59" s="575" t="e">
        <f t="shared" ca="1" si="29"/>
        <v>#NAME?</v>
      </c>
      <c r="AP59" s="575" t="e">
        <f t="shared" ca="1" si="30"/>
        <v>#NAME?</v>
      </c>
      <c r="AQ59" s="575" t="e">
        <f t="shared" ca="1" si="31"/>
        <v>#NAME?</v>
      </c>
      <c r="AR59" s="575" t="e">
        <f t="shared" ca="1" si="32"/>
        <v>#NAME?</v>
      </c>
      <c r="AS59" s="575" t="e">
        <f t="shared" ca="1" si="33"/>
        <v>#NAME?</v>
      </c>
      <c r="AT59" s="735">
        <f>'(E1) Vlerësimi i burimeve'!O68</f>
        <v>2160</v>
      </c>
      <c r="AU59" s="736" t="e">
        <f t="shared" ca="1" si="20"/>
        <v>#NAME?</v>
      </c>
      <c r="AV59" s="735">
        <f>'(E1) Vlerësimi i burimeve'!X68</f>
        <v>2160</v>
      </c>
      <c r="AW59" s="736" t="e">
        <f t="shared" ca="1" si="21"/>
        <v>#NAME?</v>
      </c>
      <c r="AX59" s="735">
        <f>'(E1) Vlerësimi i burimeve'!AG68</f>
        <v>2160</v>
      </c>
      <c r="AY59" s="736" t="e">
        <f t="shared" ca="1" si="22"/>
        <v>#NAME?</v>
      </c>
      <c r="AZ59" s="575" t="e">
        <f t="shared" ca="1" si="34"/>
        <v>#NAME?</v>
      </c>
      <c r="BA59" s="575" t="e">
        <f t="shared" ca="1" si="35"/>
        <v>#NAME?</v>
      </c>
      <c r="BB59" s="575" t="e">
        <f t="shared" ca="1" si="36"/>
        <v>#NAME?</v>
      </c>
    </row>
    <row r="60" spans="1:54" s="594" customFormat="1" ht="15.75" thickBot="1" x14ac:dyDescent="0.3">
      <c r="A60" s="595" t="str">
        <f>'(C2) Burimet viti kaluar'!C66</f>
        <v>A.3.7</v>
      </c>
      <c r="B60" s="607" t="str">
        <f>'(G1) Fjalori'!A277</f>
        <v>Tarifa për furnizimin me ujë dhe kanalizime</v>
      </c>
      <c r="C60" s="727"/>
      <c r="D60" s="598">
        <f>'(C2) Burimet viti kaluar'!D66</f>
        <v>0</v>
      </c>
      <c r="E60" s="598">
        <f>'(C2) Burimet viti kaluar'!E66</f>
        <v>0</v>
      </c>
      <c r="F60" s="598">
        <f>'(C2) Burimet viti kaluar'!F66</f>
        <v>0</v>
      </c>
      <c r="G60" s="925"/>
      <c r="H60" s="926"/>
      <c r="I60" s="599"/>
      <c r="J60" s="599"/>
      <c r="K60" s="599"/>
      <c r="L60" s="599"/>
      <c r="M60" s="599"/>
      <c r="N60" s="600"/>
      <c r="O60" s="601">
        <f t="shared" si="52"/>
        <v>0</v>
      </c>
      <c r="P60" s="925"/>
      <c r="Q60" s="926"/>
      <c r="R60" s="599"/>
      <c r="S60" s="599"/>
      <c r="T60" s="599"/>
      <c r="U60" s="599"/>
      <c r="V60" s="599"/>
      <c r="W60" s="600"/>
      <c r="X60" s="601">
        <f t="shared" si="53"/>
        <v>0</v>
      </c>
      <c r="Y60" s="925"/>
      <c r="Z60" s="926"/>
      <c r="AA60" s="599"/>
      <c r="AB60" s="599"/>
      <c r="AC60" s="599"/>
      <c r="AD60" s="599"/>
      <c r="AE60" s="599"/>
      <c r="AF60" s="600"/>
      <c r="AG60" s="601">
        <f t="shared" si="54"/>
        <v>0</v>
      </c>
      <c r="AI60" s="577" t="str">
        <f t="shared" si="24"/>
        <v>Tarifa për furnizimin me ujë dhe kanalizime</v>
      </c>
      <c r="AJ60" s="602"/>
      <c r="AK60" s="563">
        <f t="shared" si="25"/>
        <v>0</v>
      </c>
      <c r="AL60" s="563">
        <f t="shared" si="26"/>
        <v>0</v>
      </c>
      <c r="AM60" s="563">
        <f t="shared" si="27"/>
        <v>0</v>
      </c>
      <c r="AN60" s="575" t="e">
        <f t="shared" ca="1" si="28"/>
        <v>#NAME?</v>
      </c>
      <c r="AO60" s="575" t="e">
        <f t="shared" ca="1" si="29"/>
        <v>#NAME?</v>
      </c>
      <c r="AP60" s="575" t="e">
        <f t="shared" ca="1" si="30"/>
        <v>#NAME?</v>
      </c>
      <c r="AQ60" s="575" t="e">
        <f t="shared" ca="1" si="31"/>
        <v>#NAME?</v>
      </c>
      <c r="AR60" s="575" t="e">
        <f t="shared" ca="1" si="32"/>
        <v>#NAME?</v>
      </c>
      <c r="AS60" s="575" t="e">
        <f t="shared" ca="1" si="33"/>
        <v>#NAME?</v>
      </c>
      <c r="AT60" s="735">
        <f>'(E1) Vlerësimi i burimeve'!O69</f>
        <v>0</v>
      </c>
      <c r="AU60" s="736" t="e">
        <f t="shared" ca="1" si="20"/>
        <v>#NAME?</v>
      </c>
      <c r="AV60" s="735">
        <f>'(E1) Vlerësimi i burimeve'!X69</f>
        <v>0</v>
      </c>
      <c r="AW60" s="736" t="e">
        <f t="shared" ca="1" si="21"/>
        <v>#NAME?</v>
      </c>
      <c r="AX60" s="735">
        <f>'(E1) Vlerësimi i burimeve'!AG69</f>
        <v>0</v>
      </c>
      <c r="AY60" s="736" t="e">
        <f t="shared" ca="1" si="22"/>
        <v>#NAME?</v>
      </c>
      <c r="AZ60" s="575" t="e">
        <f t="shared" ca="1" si="34"/>
        <v>#NAME?</v>
      </c>
      <c r="BA60" s="575" t="e">
        <f t="shared" ca="1" si="35"/>
        <v>#NAME?</v>
      </c>
      <c r="BB60" s="575" t="e">
        <f t="shared" ca="1" si="36"/>
        <v>#NAME?</v>
      </c>
    </row>
    <row r="61" spans="1:54" s="594" customFormat="1" ht="15.75" thickBot="1" x14ac:dyDescent="0.3">
      <c r="A61" s="595" t="str">
        <f>'(C2) Burimet viti kaluar'!C67</f>
        <v>A.3.8</v>
      </c>
      <c r="B61" s="607" t="str">
        <f>'(G1) Fjalori'!A278</f>
        <v>Tarifa për shërbimin e ujitjes dhe kullimit</v>
      </c>
      <c r="C61" s="727"/>
      <c r="D61" s="598">
        <f>'(C2) Burimet viti kaluar'!D67</f>
        <v>0</v>
      </c>
      <c r="E61" s="598">
        <f>'(C2) Burimet viti kaluar'!E67</f>
        <v>0</v>
      </c>
      <c r="F61" s="598">
        <f>'(C2) Burimet viti kaluar'!F67</f>
        <v>0</v>
      </c>
      <c r="G61" s="925"/>
      <c r="H61" s="926"/>
      <c r="I61" s="599"/>
      <c r="J61" s="599"/>
      <c r="K61" s="599"/>
      <c r="L61" s="599"/>
      <c r="M61" s="599"/>
      <c r="N61" s="600"/>
      <c r="O61" s="601">
        <f t="shared" si="52"/>
        <v>0</v>
      </c>
      <c r="P61" s="925"/>
      <c r="Q61" s="926"/>
      <c r="R61" s="599"/>
      <c r="S61" s="599"/>
      <c r="T61" s="599"/>
      <c r="U61" s="599"/>
      <c r="V61" s="599"/>
      <c r="W61" s="600"/>
      <c r="X61" s="601">
        <f t="shared" si="53"/>
        <v>0</v>
      </c>
      <c r="Y61" s="925"/>
      <c r="Z61" s="926"/>
      <c r="AA61" s="599"/>
      <c r="AB61" s="599"/>
      <c r="AC61" s="599"/>
      <c r="AD61" s="599"/>
      <c r="AE61" s="599"/>
      <c r="AF61" s="600"/>
      <c r="AG61" s="601">
        <f t="shared" si="54"/>
        <v>0</v>
      </c>
      <c r="AI61" s="577" t="str">
        <f t="shared" si="24"/>
        <v>Tarifa për shërbimin e ujitjes dhe kullimit</v>
      </c>
      <c r="AJ61" s="602"/>
      <c r="AK61" s="563">
        <f t="shared" si="25"/>
        <v>0</v>
      </c>
      <c r="AL61" s="563">
        <f t="shared" si="26"/>
        <v>0</v>
      </c>
      <c r="AM61" s="563">
        <f t="shared" si="27"/>
        <v>0</v>
      </c>
      <c r="AN61" s="575" t="e">
        <f t="shared" ca="1" si="28"/>
        <v>#NAME?</v>
      </c>
      <c r="AO61" s="575" t="e">
        <f t="shared" ca="1" si="29"/>
        <v>#NAME?</v>
      </c>
      <c r="AP61" s="575" t="e">
        <f t="shared" ca="1" si="30"/>
        <v>#NAME?</v>
      </c>
      <c r="AQ61" s="575" t="e">
        <f t="shared" ca="1" si="31"/>
        <v>#NAME?</v>
      </c>
      <c r="AR61" s="575" t="e">
        <f t="shared" ca="1" si="32"/>
        <v>#NAME?</v>
      </c>
      <c r="AS61" s="575" t="e">
        <f t="shared" ca="1" si="33"/>
        <v>#NAME?</v>
      </c>
      <c r="AT61" s="735">
        <f>'(E1) Vlerësimi i burimeve'!O70</f>
        <v>0</v>
      </c>
      <c r="AU61" s="736" t="e">
        <f t="shared" ca="1" si="20"/>
        <v>#NAME?</v>
      </c>
      <c r="AV61" s="735">
        <f>'(E1) Vlerësimi i burimeve'!X70</f>
        <v>0</v>
      </c>
      <c r="AW61" s="736" t="e">
        <f t="shared" ca="1" si="21"/>
        <v>#NAME?</v>
      </c>
      <c r="AX61" s="735">
        <f>'(E1) Vlerësimi i burimeve'!AG70</f>
        <v>0</v>
      </c>
      <c r="AY61" s="736" t="e">
        <f t="shared" ca="1" si="22"/>
        <v>#NAME?</v>
      </c>
      <c r="AZ61" s="575" t="e">
        <f t="shared" ca="1" si="34"/>
        <v>#NAME?</v>
      </c>
      <c r="BA61" s="575" t="e">
        <f t="shared" ca="1" si="35"/>
        <v>#NAME?</v>
      </c>
      <c r="BB61" s="575" t="e">
        <f t="shared" ca="1" si="36"/>
        <v>#NAME?</v>
      </c>
    </row>
    <row r="62" spans="1:54" s="594" customFormat="1" ht="15.75" thickBot="1" x14ac:dyDescent="0.3">
      <c r="A62" s="595" t="str">
        <f>'(C2) Burimet viti kaluar'!C68</f>
        <v>A.3.9</v>
      </c>
      <c r="B62" s="607" t="str">
        <f>'(G1) Fjalori'!A279</f>
        <v>Tarifa e përkohëshme</v>
      </c>
      <c r="C62" s="727"/>
      <c r="D62" s="598">
        <f>'(C2) Burimet viti kaluar'!D68</f>
        <v>0</v>
      </c>
      <c r="E62" s="598">
        <f>'(C2) Burimet viti kaluar'!E68</f>
        <v>0</v>
      </c>
      <c r="F62" s="598">
        <f>'(C2) Burimet viti kaluar'!F68</f>
        <v>0</v>
      </c>
      <c r="G62" s="925"/>
      <c r="H62" s="926"/>
      <c r="I62" s="599"/>
      <c r="J62" s="599"/>
      <c r="K62" s="599"/>
      <c r="L62" s="599"/>
      <c r="M62" s="599"/>
      <c r="N62" s="600"/>
      <c r="O62" s="601">
        <f t="shared" si="52"/>
        <v>0</v>
      </c>
      <c r="P62" s="925"/>
      <c r="Q62" s="926"/>
      <c r="R62" s="599"/>
      <c r="S62" s="599"/>
      <c r="T62" s="599"/>
      <c r="U62" s="599"/>
      <c r="V62" s="599"/>
      <c r="W62" s="600"/>
      <c r="X62" s="601">
        <f t="shared" si="53"/>
        <v>0</v>
      </c>
      <c r="Y62" s="925"/>
      <c r="Z62" s="926"/>
      <c r="AA62" s="599"/>
      <c r="AB62" s="599"/>
      <c r="AC62" s="599"/>
      <c r="AD62" s="599"/>
      <c r="AE62" s="599"/>
      <c r="AF62" s="600"/>
      <c r="AG62" s="601">
        <f t="shared" si="54"/>
        <v>0</v>
      </c>
      <c r="AI62" s="577" t="str">
        <f t="shared" si="24"/>
        <v>Tarifa e përkohëshme</v>
      </c>
      <c r="AJ62" s="602"/>
      <c r="AK62" s="563">
        <f t="shared" si="25"/>
        <v>0</v>
      </c>
      <c r="AL62" s="563">
        <f t="shared" si="26"/>
        <v>0</v>
      </c>
      <c r="AM62" s="563">
        <f t="shared" si="27"/>
        <v>0</v>
      </c>
      <c r="AN62" s="575" t="e">
        <f t="shared" ca="1" si="28"/>
        <v>#NAME?</v>
      </c>
      <c r="AO62" s="575" t="e">
        <f t="shared" ca="1" si="29"/>
        <v>#NAME?</v>
      </c>
      <c r="AP62" s="575" t="e">
        <f t="shared" ca="1" si="30"/>
        <v>#NAME?</v>
      </c>
      <c r="AQ62" s="575" t="e">
        <f t="shared" ca="1" si="31"/>
        <v>#NAME?</v>
      </c>
      <c r="AR62" s="575" t="e">
        <f t="shared" ca="1" si="32"/>
        <v>#NAME?</v>
      </c>
      <c r="AS62" s="575" t="e">
        <f t="shared" ca="1" si="33"/>
        <v>#NAME?</v>
      </c>
      <c r="AT62" s="735">
        <f>'(E1) Vlerësimi i burimeve'!O71</f>
        <v>0</v>
      </c>
      <c r="AU62" s="736" t="e">
        <f t="shared" ca="1" si="20"/>
        <v>#NAME?</v>
      </c>
      <c r="AV62" s="735">
        <f>'(E1) Vlerësimi i burimeve'!X71</f>
        <v>0</v>
      </c>
      <c r="AW62" s="736" t="e">
        <f t="shared" ca="1" si="21"/>
        <v>#NAME?</v>
      </c>
      <c r="AX62" s="735">
        <f>'(E1) Vlerësimi i burimeve'!AG71</f>
        <v>0</v>
      </c>
      <c r="AY62" s="736" t="e">
        <f t="shared" ca="1" si="22"/>
        <v>#NAME?</v>
      </c>
      <c r="AZ62" s="575" t="e">
        <f t="shared" ca="1" si="34"/>
        <v>#NAME?</v>
      </c>
      <c r="BA62" s="575" t="e">
        <f t="shared" ca="1" si="35"/>
        <v>#NAME?</v>
      </c>
      <c r="BB62" s="575" t="e">
        <f t="shared" ca="1" si="36"/>
        <v>#NAME?</v>
      </c>
    </row>
    <row r="63" spans="1:54" s="594" customFormat="1" ht="15.75" thickBot="1" x14ac:dyDescent="0.3">
      <c r="A63" s="595" t="str">
        <f>'(C2) Burimet viti kaluar'!C69</f>
        <v>A.3.10</v>
      </c>
      <c r="B63" s="607" t="str">
        <f>'(G1) Fjalori'!A280</f>
        <v>Tarifa të tjera</v>
      </c>
      <c r="C63" s="727"/>
      <c r="D63" s="598">
        <f>'(C2) Burimet viti kaluar'!D69</f>
        <v>29730</v>
      </c>
      <c r="E63" s="598">
        <f>'(C2) Burimet viti kaluar'!E69</f>
        <v>8978</v>
      </c>
      <c r="F63" s="598">
        <f>'(C2) Burimet viti kaluar'!F69</f>
        <v>41100</v>
      </c>
      <c r="G63" s="925"/>
      <c r="H63" s="926"/>
      <c r="I63" s="599"/>
      <c r="J63" s="599"/>
      <c r="K63" s="599"/>
      <c r="L63" s="599"/>
      <c r="M63" s="599"/>
      <c r="N63" s="600"/>
      <c r="O63" s="601">
        <f t="shared" si="52"/>
        <v>41100</v>
      </c>
      <c r="P63" s="925"/>
      <c r="Q63" s="926"/>
      <c r="R63" s="599"/>
      <c r="S63" s="599"/>
      <c r="T63" s="599"/>
      <c r="U63" s="599"/>
      <c r="V63" s="599"/>
      <c r="W63" s="600"/>
      <c r="X63" s="601">
        <f t="shared" si="53"/>
        <v>41100</v>
      </c>
      <c r="Y63" s="925"/>
      <c r="Z63" s="926"/>
      <c r="AA63" s="599"/>
      <c r="AB63" s="599"/>
      <c r="AC63" s="599"/>
      <c r="AD63" s="599"/>
      <c r="AE63" s="599"/>
      <c r="AF63" s="600"/>
      <c r="AG63" s="601">
        <f t="shared" si="54"/>
        <v>41100</v>
      </c>
      <c r="AI63" s="577" t="str">
        <f t="shared" si="24"/>
        <v>Tarifa të tjera</v>
      </c>
      <c r="AJ63" s="602"/>
      <c r="AK63" s="563">
        <f t="shared" si="25"/>
        <v>29730</v>
      </c>
      <c r="AL63" s="563">
        <f t="shared" si="26"/>
        <v>8978</v>
      </c>
      <c r="AM63" s="563">
        <f t="shared" si="27"/>
        <v>41100</v>
      </c>
      <c r="AN63" s="575" t="e">
        <f t="shared" ca="1" si="28"/>
        <v>#NAME?</v>
      </c>
      <c r="AO63" s="575" t="e">
        <f t="shared" ca="1" si="29"/>
        <v>#NAME?</v>
      </c>
      <c r="AP63" s="575" t="e">
        <f t="shared" ca="1" si="30"/>
        <v>#NAME?</v>
      </c>
      <c r="AQ63" s="575" t="e">
        <f t="shared" ca="1" si="31"/>
        <v>#NAME?</v>
      </c>
      <c r="AR63" s="575" t="e">
        <f t="shared" ca="1" si="32"/>
        <v>#NAME?</v>
      </c>
      <c r="AS63" s="575" t="e">
        <f t="shared" ca="1" si="33"/>
        <v>#NAME?</v>
      </c>
      <c r="AT63" s="735">
        <f>'(E1) Vlerësimi i burimeve'!O72</f>
        <v>41922</v>
      </c>
      <c r="AU63" s="736" t="e">
        <f t="shared" ca="1" si="20"/>
        <v>#NAME?</v>
      </c>
      <c r="AV63" s="735">
        <f>'(E1) Vlerësimi i burimeve'!X72</f>
        <v>41922</v>
      </c>
      <c r="AW63" s="736" t="e">
        <f t="shared" ca="1" si="21"/>
        <v>#NAME?</v>
      </c>
      <c r="AX63" s="735">
        <f>'(E1) Vlerësimi i burimeve'!AG72</f>
        <v>41922</v>
      </c>
      <c r="AY63" s="736" t="e">
        <f t="shared" ca="1" si="22"/>
        <v>#NAME?</v>
      </c>
      <c r="AZ63" s="575" t="e">
        <f t="shared" ca="1" si="34"/>
        <v>#NAME?</v>
      </c>
      <c r="BA63" s="575" t="e">
        <f t="shared" ca="1" si="35"/>
        <v>#NAME?</v>
      </c>
      <c r="BB63" s="575" t="e">
        <f t="shared" ca="1" si="36"/>
        <v>#NAME?</v>
      </c>
    </row>
    <row r="64" spans="1:54" x14ac:dyDescent="0.25">
      <c r="B64" s="626"/>
      <c r="C64" s="625"/>
      <c r="D64" s="626">
        <v>2015</v>
      </c>
      <c r="E64" s="626">
        <v>2016</v>
      </c>
      <c r="F64" s="626">
        <v>2017</v>
      </c>
      <c r="G64" s="626">
        <v>2018</v>
      </c>
      <c r="H64" s="626">
        <v>2019</v>
      </c>
      <c r="I64" s="626">
        <v>2020</v>
      </c>
      <c r="AI64" s="612"/>
      <c r="AJ64" s="612"/>
      <c r="AK64" s="612"/>
      <c r="AL64" s="612"/>
      <c r="AM64" s="612"/>
      <c r="AN64" s="612"/>
      <c r="AO64" s="612"/>
      <c r="AP64" s="612"/>
    </row>
    <row r="65" spans="3:42" x14ac:dyDescent="0.25">
      <c r="C65" s="626"/>
      <c r="D65" s="627" t="e">
        <f>#REF!</f>
        <v>#REF!</v>
      </c>
      <c r="E65" s="627">
        <v>98</v>
      </c>
      <c r="F65" s="627">
        <v>105</v>
      </c>
      <c r="G65" s="628">
        <v>106.3372045</v>
      </c>
      <c r="H65" s="628">
        <v>108.48035900000001</v>
      </c>
      <c r="I65" s="628">
        <v>110.6235135</v>
      </c>
      <c r="AI65" s="613"/>
      <c r="AJ65" s="629"/>
      <c r="AK65" s="630"/>
      <c r="AL65" s="630"/>
      <c r="AM65" s="630"/>
      <c r="AN65" s="630"/>
      <c r="AO65" s="630"/>
      <c r="AP65" s="630"/>
    </row>
    <row r="66" spans="3:42" x14ac:dyDescent="0.25">
      <c r="C66" s="626"/>
      <c r="D66" s="631"/>
      <c r="E66" s="631"/>
      <c r="F66" s="628">
        <v>105</v>
      </c>
      <c r="G66" s="628">
        <v>102.94234882273504</v>
      </c>
      <c r="H66" s="628">
        <v>105.01893611637921</v>
      </c>
      <c r="I66" s="628">
        <v>107.01728021836085</v>
      </c>
      <c r="AI66" s="613"/>
      <c r="AJ66" s="632"/>
      <c r="AK66" s="633"/>
      <c r="AL66" s="633"/>
      <c r="AM66" s="633"/>
      <c r="AN66" s="574"/>
      <c r="AO66" s="574"/>
      <c r="AP66" s="574"/>
    </row>
    <row r="67" spans="3:42" x14ac:dyDescent="0.25">
      <c r="C67" s="626"/>
      <c r="D67" s="631"/>
      <c r="E67" s="631"/>
      <c r="F67" s="628">
        <v>105</v>
      </c>
      <c r="G67" s="628">
        <v>109.73206017726496</v>
      </c>
      <c r="H67" s="628">
        <v>111.94178188362081</v>
      </c>
      <c r="I67" s="628">
        <v>114.22974678163915</v>
      </c>
      <c r="AI67" s="613"/>
      <c r="AJ67" s="632"/>
      <c r="AK67" s="633"/>
      <c r="AL67" s="633"/>
      <c r="AM67" s="633"/>
      <c r="AN67" s="574"/>
      <c r="AO67" s="574"/>
      <c r="AP67" s="574"/>
    </row>
    <row r="68" spans="3:42" x14ac:dyDescent="0.25">
      <c r="C68" s="626"/>
      <c r="D68" s="631"/>
      <c r="E68" s="631"/>
      <c r="F68" s="631"/>
      <c r="G68" s="627">
        <v>107</v>
      </c>
      <c r="H68" s="627">
        <v>104</v>
      </c>
      <c r="I68" s="627">
        <v>115</v>
      </c>
      <c r="AI68" s="613"/>
      <c r="AJ68" s="632"/>
      <c r="AK68" s="633"/>
      <c r="AL68" s="633"/>
      <c r="AM68" s="633"/>
      <c r="AN68" s="574"/>
      <c r="AO68" s="574"/>
      <c r="AP68" s="574"/>
    </row>
    <row r="69" spans="3:42" x14ac:dyDescent="0.25">
      <c r="C69" s="626"/>
      <c r="D69" s="631"/>
      <c r="E69" s="631"/>
      <c r="F69" s="631"/>
      <c r="G69" s="634" t="s">
        <v>476</v>
      </c>
      <c r="H69" s="634" t="s">
        <v>1032</v>
      </c>
      <c r="I69" s="634" t="s">
        <v>1032</v>
      </c>
      <c r="AI69" s="613"/>
      <c r="AJ69" s="632"/>
      <c r="AK69" s="633"/>
      <c r="AL69" s="633"/>
      <c r="AM69" s="633"/>
      <c r="AN69" s="633"/>
      <c r="AO69" s="633"/>
      <c r="AP69" s="633"/>
    </row>
    <row r="70" spans="3:42" x14ac:dyDescent="0.25">
      <c r="AI70" s="613"/>
      <c r="AJ70" s="632"/>
      <c r="AK70" s="631"/>
      <c r="AL70" s="631"/>
      <c r="AM70" s="631"/>
      <c r="AN70" s="635"/>
      <c r="AO70" s="635"/>
      <c r="AP70" s="635"/>
    </row>
    <row r="71" spans="3:42" x14ac:dyDescent="0.25">
      <c r="AI71" s="612"/>
      <c r="AJ71" s="612"/>
      <c r="AK71" s="612"/>
      <c r="AL71" s="612"/>
      <c r="AM71" s="612"/>
      <c r="AN71" s="612"/>
      <c r="AO71" s="612"/>
      <c r="AP71" s="612"/>
    </row>
    <row r="72" spans="3:42" x14ac:dyDescent="0.25">
      <c r="C72" s="625"/>
      <c r="D72" s="626"/>
      <c r="E72" s="626"/>
      <c r="F72" s="626"/>
      <c r="G72" s="626"/>
      <c r="H72" s="626"/>
      <c r="I72" s="626"/>
      <c r="AI72" s="613"/>
      <c r="AJ72" s="629"/>
      <c r="AK72" s="630"/>
      <c r="AL72" s="630"/>
      <c r="AM72" s="630"/>
      <c r="AN72" s="630"/>
      <c r="AO72" s="630"/>
      <c r="AP72" s="630"/>
    </row>
    <row r="73" spans="3:42" x14ac:dyDescent="0.25">
      <c r="C73" s="625"/>
      <c r="D73" s="626">
        <v>2015</v>
      </c>
      <c r="E73" s="626">
        <v>2016</v>
      </c>
      <c r="F73" s="626">
        <v>2017</v>
      </c>
      <c r="G73" s="626">
        <v>2018</v>
      </c>
      <c r="H73" s="626">
        <v>2019</v>
      </c>
      <c r="I73" s="626">
        <v>2020</v>
      </c>
      <c r="AI73" s="613"/>
      <c r="AJ73" s="632"/>
      <c r="AK73" s="633"/>
      <c r="AL73" s="633"/>
      <c r="AM73" s="633"/>
      <c r="AN73" s="574"/>
      <c r="AO73" s="574"/>
      <c r="AP73" s="574"/>
    </row>
    <row r="74" spans="3:42" x14ac:dyDescent="0.25">
      <c r="C74" s="626"/>
      <c r="D74" s="627">
        <v>1000</v>
      </c>
      <c r="E74" s="627">
        <v>1050</v>
      </c>
      <c r="F74" s="627">
        <v>980</v>
      </c>
      <c r="G74" s="628">
        <v>985.50393999999994</v>
      </c>
      <c r="H74" s="628">
        <v>980.26188000000002</v>
      </c>
      <c r="I74" s="628">
        <v>975.01981999999998</v>
      </c>
      <c r="AI74" s="613"/>
      <c r="AJ74" s="632"/>
      <c r="AK74" s="633"/>
      <c r="AL74" s="633"/>
      <c r="AM74" s="633"/>
      <c r="AN74" s="574"/>
      <c r="AO74" s="574"/>
      <c r="AP74" s="574"/>
    </row>
    <row r="75" spans="3:42" x14ac:dyDescent="0.25">
      <c r="C75" s="626"/>
      <c r="D75" s="631"/>
      <c r="E75" s="631"/>
      <c r="F75" s="628">
        <v>105</v>
      </c>
      <c r="G75" s="628">
        <v>940.23919763646722</v>
      </c>
      <c r="H75" s="628">
        <v>934.10957488505608</v>
      </c>
      <c r="I75" s="628">
        <v>926.93670957814459</v>
      </c>
      <c r="AI75" s="613"/>
      <c r="AJ75" s="632"/>
      <c r="AK75" s="633"/>
      <c r="AL75" s="633"/>
      <c r="AM75" s="633"/>
      <c r="AN75" s="574"/>
      <c r="AO75" s="574"/>
      <c r="AP75" s="574"/>
    </row>
    <row r="76" spans="3:42" x14ac:dyDescent="0.25">
      <c r="C76" s="626"/>
      <c r="D76" s="631"/>
      <c r="E76" s="631"/>
      <c r="F76" s="628">
        <v>105</v>
      </c>
      <c r="G76" s="628">
        <v>1030.7686823635327</v>
      </c>
      <c r="H76" s="628">
        <v>1026.4141851149441</v>
      </c>
      <c r="I76" s="628">
        <v>1023.1029304218554</v>
      </c>
      <c r="AI76" s="613"/>
      <c r="AJ76" s="632"/>
      <c r="AK76" s="633"/>
      <c r="AL76" s="633"/>
      <c r="AM76" s="633"/>
      <c r="AN76" s="633"/>
      <c r="AO76" s="633"/>
      <c r="AP76" s="633"/>
    </row>
    <row r="77" spans="3:42" x14ac:dyDescent="0.25">
      <c r="C77" s="626"/>
      <c r="D77" s="631"/>
      <c r="E77" s="631"/>
      <c r="F77" s="631"/>
      <c r="G77" s="627">
        <v>935</v>
      </c>
      <c r="H77" s="627">
        <v>1000</v>
      </c>
      <c r="I77" s="627">
        <v>1050</v>
      </c>
      <c r="AI77" s="613"/>
      <c r="AJ77" s="632"/>
      <c r="AK77" s="631"/>
      <c r="AL77" s="631"/>
      <c r="AM77" s="631"/>
      <c r="AN77" s="635"/>
      <c r="AO77" s="635"/>
      <c r="AP77" s="635"/>
    </row>
    <row r="78" spans="3:42" x14ac:dyDescent="0.25">
      <c r="C78" s="626"/>
      <c r="D78" s="631"/>
      <c r="E78" s="631"/>
      <c r="F78" s="631"/>
      <c r="G78" s="634" t="s">
        <v>1032</v>
      </c>
      <c r="H78" s="634" t="s">
        <v>476</v>
      </c>
      <c r="I78" s="634" t="s">
        <v>1032</v>
      </c>
      <c r="AI78" s="612"/>
      <c r="AJ78" s="612"/>
      <c r="AK78" s="612"/>
      <c r="AL78" s="612"/>
      <c r="AM78" s="612"/>
      <c r="AN78" s="612"/>
      <c r="AO78" s="612"/>
      <c r="AP78" s="612"/>
    </row>
    <row r="79" spans="3:42" x14ac:dyDescent="0.25">
      <c r="C79" s="626"/>
      <c r="D79" s="632"/>
      <c r="E79" s="632"/>
      <c r="F79" s="632"/>
      <c r="G79" s="636"/>
      <c r="H79" s="636"/>
      <c r="I79" s="636"/>
      <c r="AI79" s="613"/>
      <c r="AJ79" s="629"/>
      <c r="AK79" s="630"/>
      <c r="AL79" s="630"/>
      <c r="AM79" s="630"/>
      <c r="AN79" s="630"/>
      <c r="AO79" s="630"/>
      <c r="AP79" s="630"/>
    </row>
    <row r="80" spans="3:42" x14ac:dyDescent="0.25">
      <c r="AI80" s="613"/>
      <c r="AJ80" s="632"/>
      <c r="AK80" s="633"/>
      <c r="AL80" s="633"/>
      <c r="AM80" s="633"/>
      <c r="AN80" s="574"/>
      <c r="AO80" s="574"/>
      <c r="AP80" s="574"/>
    </row>
    <row r="81" spans="3:42" x14ac:dyDescent="0.25">
      <c r="AI81" s="613"/>
      <c r="AJ81" s="632"/>
      <c r="AK81" s="633"/>
      <c r="AL81" s="633"/>
      <c r="AM81" s="633"/>
      <c r="AN81" s="574"/>
      <c r="AO81" s="574"/>
      <c r="AP81" s="574"/>
    </row>
    <row r="82" spans="3:42" x14ac:dyDescent="0.25">
      <c r="C82" s="625"/>
      <c r="D82" s="626"/>
      <c r="E82" s="626"/>
      <c r="F82" s="626"/>
      <c r="G82" s="626"/>
      <c r="H82" s="626"/>
      <c r="I82" s="626"/>
      <c r="AI82" s="613"/>
      <c r="AJ82" s="632"/>
      <c r="AK82" s="633"/>
      <c r="AL82" s="633"/>
      <c r="AM82" s="633"/>
      <c r="AN82" s="574"/>
      <c r="AO82" s="574"/>
      <c r="AP82" s="574"/>
    </row>
    <row r="83" spans="3:42" x14ac:dyDescent="0.25">
      <c r="C83" s="625"/>
      <c r="D83" s="626">
        <v>2015</v>
      </c>
      <c r="E83" s="626">
        <v>2016</v>
      </c>
      <c r="F83" s="626">
        <v>2017</v>
      </c>
      <c r="G83" s="626">
        <v>2018</v>
      </c>
      <c r="H83" s="626">
        <v>2019</v>
      </c>
      <c r="I83" s="626">
        <v>2020</v>
      </c>
      <c r="AI83" s="613"/>
      <c r="AJ83" s="632"/>
      <c r="AK83" s="633"/>
      <c r="AL83" s="633"/>
      <c r="AM83" s="633"/>
      <c r="AN83" s="633"/>
      <c r="AO83" s="633"/>
      <c r="AP83" s="633"/>
    </row>
    <row r="84" spans="3:42" x14ac:dyDescent="0.25">
      <c r="C84" s="626"/>
      <c r="D84" s="627">
        <v>1000</v>
      </c>
      <c r="E84" s="627">
        <v>750</v>
      </c>
      <c r="F84" s="627">
        <v>950</v>
      </c>
      <c r="G84" s="628">
        <v>866.86022500000001</v>
      </c>
      <c r="H84" s="628">
        <v>824.01794999999993</v>
      </c>
      <c r="I84" s="628">
        <v>781.17567499999996</v>
      </c>
      <c r="AI84" s="613"/>
      <c r="AJ84" s="632"/>
      <c r="AK84" s="631"/>
      <c r="AL84" s="631"/>
      <c r="AM84" s="631"/>
      <c r="AN84" s="635"/>
      <c r="AO84" s="635"/>
      <c r="AP84" s="635"/>
    </row>
    <row r="85" spans="3:42" x14ac:dyDescent="0.25">
      <c r="C85" s="626"/>
      <c r="D85" s="631"/>
      <c r="E85" s="631"/>
      <c r="F85" s="628">
        <v>105</v>
      </c>
      <c r="G85" s="628">
        <v>697.11744113675218</v>
      </c>
      <c r="H85" s="628">
        <v>650.94680581896</v>
      </c>
      <c r="I85" s="628">
        <v>600.86401091804237</v>
      </c>
      <c r="AI85" s="612"/>
      <c r="AJ85" s="612"/>
      <c r="AK85" s="612"/>
      <c r="AL85" s="612"/>
      <c r="AM85" s="612"/>
      <c r="AN85" s="612"/>
      <c r="AO85" s="612"/>
      <c r="AP85" s="612"/>
    </row>
    <row r="86" spans="3:42" x14ac:dyDescent="0.25">
      <c r="C86" s="626"/>
      <c r="D86" s="631"/>
      <c r="E86" s="631"/>
      <c r="F86" s="628">
        <v>105</v>
      </c>
      <c r="G86" s="628">
        <v>1036.6030088632479</v>
      </c>
      <c r="H86" s="628">
        <v>997.08909418103985</v>
      </c>
      <c r="I86" s="628">
        <v>961.48733908195754</v>
      </c>
      <c r="AI86" s="613"/>
      <c r="AJ86" s="629"/>
      <c r="AK86" s="630"/>
      <c r="AL86" s="630"/>
      <c r="AM86" s="630"/>
      <c r="AN86" s="630"/>
      <c r="AO86" s="630"/>
      <c r="AP86" s="630"/>
    </row>
    <row r="87" spans="3:42" x14ac:dyDescent="0.25">
      <c r="C87" s="626"/>
      <c r="D87" s="631"/>
      <c r="E87" s="631"/>
      <c r="F87" s="631"/>
      <c r="G87" s="627">
        <v>1000</v>
      </c>
      <c r="H87" s="627">
        <v>1050</v>
      </c>
      <c r="I87" s="627">
        <v>1100</v>
      </c>
      <c r="AI87" s="613"/>
      <c r="AJ87" s="632"/>
      <c r="AK87" s="633"/>
      <c r="AL87" s="633"/>
      <c r="AM87" s="633"/>
      <c r="AN87" s="574"/>
      <c r="AO87" s="574"/>
      <c r="AP87" s="574"/>
    </row>
    <row r="88" spans="3:42" x14ac:dyDescent="0.25">
      <c r="C88" s="626"/>
      <c r="D88" s="631"/>
      <c r="E88" s="631"/>
      <c r="F88" s="631"/>
      <c r="G88" s="634" t="s">
        <v>476</v>
      </c>
      <c r="H88" s="634" t="s">
        <v>1032</v>
      </c>
      <c r="I88" s="634" t="s">
        <v>1032</v>
      </c>
      <c r="AI88" s="613"/>
      <c r="AJ88" s="632"/>
      <c r="AK88" s="633"/>
      <c r="AL88" s="633"/>
      <c r="AM88" s="633"/>
      <c r="AN88" s="574"/>
      <c r="AO88" s="574"/>
      <c r="AP88" s="574"/>
    </row>
    <row r="89" spans="3:42" x14ac:dyDescent="0.25">
      <c r="AI89" s="613"/>
      <c r="AJ89" s="632"/>
      <c r="AK89" s="633"/>
      <c r="AL89" s="633"/>
      <c r="AM89" s="633"/>
      <c r="AN89" s="574"/>
      <c r="AO89" s="574"/>
      <c r="AP89" s="574"/>
    </row>
    <row r="90" spans="3:42" x14ac:dyDescent="0.25">
      <c r="AI90" s="613"/>
      <c r="AJ90" s="632"/>
      <c r="AK90" s="633"/>
      <c r="AL90" s="633"/>
      <c r="AM90" s="633"/>
      <c r="AN90" s="633"/>
      <c r="AO90" s="633"/>
      <c r="AP90" s="633"/>
    </row>
    <row r="91" spans="3:42" x14ac:dyDescent="0.25">
      <c r="AI91" s="613"/>
      <c r="AJ91" s="632"/>
      <c r="AK91" s="631"/>
      <c r="AL91" s="631"/>
      <c r="AM91" s="631"/>
      <c r="AN91" s="635"/>
      <c r="AO91" s="635"/>
      <c r="AP91" s="635"/>
    </row>
    <row r="92" spans="3:42" x14ac:dyDescent="0.25">
      <c r="AI92" s="612"/>
      <c r="AJ92" s="612"/>
      <c r="AK92" s="612"/>
      <c r="AL92" s="612"/>
      <c r="AM92" s="612"/>
      <c r="AN92" s="612"/>
      <c r="AO92" s="612"/>
      <c r="AP92" s="612"/>
    </row>
    <row r="93" spans="3:42" x14ac:dyDescent="0.25">
      <c r="AI93" s="613"/>
      <c r="AJ93" s="629"/>
      <c r="AK93" s="630"/>
      <c r="AL93" s="630"/>
      <c r="AM93" s="630"/>
      <c r="AN93" s="630"/>
      <c r="AO93" s="630"/>
      <c r="AP93" s="630"/>
    </row>
    <row r="94" spans="3:42" x14ac:dyDescent="0.25">
      <c r="AI94" s="613"/>
      <c r="AJ94" s="632"/>
      <c r="AK94" s="633"/>
      <c r="AL94" s="633"/>
      <c r="AM94" s="633"/>
      <c r="AN94" s="574"/>
      <c r="AO94" s="574"/>
      <c r="AP94" s="574"/>
    </row>
    <row r="95" spans="3:42" x14ac:dyDescent="0.25">
      <c r="AI95" s="613"/>
      <c r="AJ95" s="632"/>
      <c r="AK95" s="633"/>
      <c r="AL95" s="633"/>
      <c r="AM95" s="633"/>
      <c r="AN95" s="574"/>
      <c r="AO95" s="574"/>
      <c r="AP95" s="574"/>
    </row>
    <row r="96" spans="3:42" x14ac:dyDescent="0.25">
      <c r="AI96" s="613"/>
      <c r="AJ96" s="632"/>
      <c r="AK96" s="633"/>
      <c r="AL96" s="633"/>
      <c r="AM96" s="633"/>
      <c r="AN96" s="574"/>
      <c r="AO96" s="574"/>
      <c r="AP96" s="574"/>
    </row>
    <row r="97" spans="4:42" x14ac:dyDescent="0.25">
      <c r="AI97" s="613"/>
      <c r="AJ97" s="632"/>
      <c r="AK97" s="633"/>
      <c r="AL97" s="633"/>
      <c r="AM97" s="633"/>
      <c r="AN97" s="633"/>
      <c r="AO97" s="633"/>
      <c r="AP97" s="633"/>
    </row>
    <row r="98" spans="4:42" x14ac:dyDescent="0.25">
      <c r="AI98" s="613"/>
      <c r="AJ98" s="632"/>
      <c r="AK98" s="631"/>
      <c r="AL98" s="631"/>
      <c r="AM98" s="631"/>
      <c r="AN98" s="635"/>
      <c r="AO98" s="635"/>
      <c r="AP98" s="635"/>
    </row>
    <row r="99" spans="4:42" x14ac:dyDescent="0.25">
      <c r="AI99" s="612"/>
      <c r="AJ99" s="612"/>
      <c r="AK99" s="612"/>
      <c r="AL99" s="612"/>
      <c r="AM99" s="612"/>
      <c r="AN99" s="612"/>
      <c r="AO99" s="612"/>
      <c r="AP99" s="612"/>
    </row>
    <row r="100" spans="4:42" x14ac:dyDescent="0.25">
      <c r="AI100" s="613"/>
      <c r="AJ100" s="629"/>
      <c r="AK100" s="630"/>
      <c r="AL100" s="630"/>
      <c r="AM100" s="630"/>
      <c r="AN100" s="630"/>
      <c r="AO100" s="630"/>
      <c r="AP100" s="630"/>
    </row>
    <row r="101" spans="4:42" x14ac:dyDescent="0.25">
      <c r="AI101" s="613"/>
      <c r="AJ101" s="632"/>
      <c r="AK101" s="633"/>
      <c r="AL101" s="633"/>
      <c r="AM101" s="633"/>
      <c r="AN101" s="574"/>
      <c r="AO101" s="574"/>
      <c r="AP101" s="574"/>
    </row>
    <row r="102" spans="4:42" x14ac:dyDescent="0.25">
      <c r="D102" s="610"/>
      <c r="AI102" s="613"/>
      <c r="AJ102" s="632"/>
      <c r="AK102" s="633"/>
      <c r="AL102" s="633"/>
      <c r="AM102" s="633"/>
      <c r="AN102" s="574"/>
      <c r="AO102" s="574"/>
      <c r="AP102" s="574"/>
    </row>
    <row r="103" spans="4:42" x14ac:dyDescent="0.25">
      <c r="D103" s="610"/>
      <c r="AI103" s="613"/>
      <c r="AJ103" s="632"/>
      <c r="AK103" s="633"/>
      <c r="AL103" s="633"/>
      <c r="AM103" s="633"/>
      <c r="AN103" s="574"/>
      <c r="AO103" s="574"/>
      <c r="AP103" s="574"/>
    </row>
    <row r="104" spans="4:42" x14ac:dyDescent="0.25">
      <c r="D104" s="610"/>
      <c r="AI104" s="613"/>
      <c r="AJ104" s="632"/>
      <c r="AK104" s="633"/>
      <c r="AL104" s="633"/>
      <c r="AM104" s="633"/>
      <c r="AN104" s="633"/>
      <c r="AO104" s="633"/>
      <c r="AP104" s="633"/>
    </row>
    <row r="105" spans="4:42" x14ac:dyDescent="0.25">
      <c r="D105" s="610"/>
      <c r="AI105" s="613"/>
      <c r="AJ105" s="632"/>
      <c r="AK105" s="631"/>
      <c r="AL105" s="631"/>
      <c r="AM105" s="631"/>
      <c r="AN105" s="635"/>
      <c r="AO105" s="635"/>
      <c r="AP105" s="635"/>
    </row>
    <row r="106" spans="4:42" x14ac:dyDescent="0.25">
      <c r="D106" s="610"/>
      <c r="AI106" s="612"/>
      <c r="AJ106" s="612"/>
      <c r="AK106" s="612"/>
      <c r="AL106" s="612"/>
      <c r="AM106" s="612"/>
      <c r="AN106" s="612"/>
      <c r="AO106" s="612"/>
      <c r="AP106" s="612"/>
    </row>
    <row r="107" spans="4:42" x14ac:dyDescent="0.25">
      <c r="D107" s="610"/>
      <c r="AI107" s="613"/>
      <c r="AJ107" s="629"/>
      <c r="AK107" s="630"/>
      <c r="AL107" s="630"/>
      <c r="AM107" s="630"/>
      <c r="AN107" s="630"/>
      <c r="AO107" s="630"/>
      <c r="AP107" s="630"/>
    </row>
    <row r="108" spans="4:42" x14ac:dyDescent="0.25">
      <c r="AI108" s="613"/>
      <c r="AJ108" s="632"/>
      <c r="AK108" s="633"/>
      <c r="AL108" s="633"/>
      <c r="AM108" s="633"/>
      <c r="AN108" s="574"/>
      <c r="AO108" s="574"/>
      <c r="AP108" s="574"/>
    </row>
    <row r="109" spans="4:42" x14ac:dyDescent="0.25">
      <c r="AI109" s="613"/>
      <c r="AJ109" s="632"/>
      <c r="AK109" s="633"/>
      <c r="AL109" s="633"/>
      <c r="AM109" s="633"/>
      <c r="AN109" s="574"/>
      <c r="AO109" s="574"/>
      <c r="AP109" s="574"/>
    </row>
    <row r="110" spans="4:42" x14ac:dyDescent="0.25">
      <c r="AI110" s="613"/>
      <c r="AJ110" s="632"/>
      <c r="AK110" s="633"/>
      <c r="AL110" s="633"/>
      <c r="AM110" s="633"/>
      <c r="AN110" s="574"/>
      <c r="AO110" s="574"/>
      <c r="AP110" s="574"/>
    </row>
    <row r="111" spans="4:42" x14ac:dyDescent="0.25">
      <c r="AI111" s="613"/>
      <c r="AJ111" s="632"/>
      <c r="AK111" s="633"/>
      <c r="AL111" s="633"/>
      <c r="AM111" s="633"/>
      <c r="AN111" s="633"/>
      <c r="AO111" s="633"/>
      <c r="AP111" s="633"/>
    </row>
    <row r="112" spans="4:42" x14ac:dyDescent="0.25">
      <c r="AI112" s="613"/>
      <c r="AJ112" s="632"/>
      <c r="AK112" s="631"/>
      <c r="AL112" s="631"/>
      <c r="AM112" s="631"/>
      <c r="AN112" s="635"/>
      <c r="AO112" s="635"/>
      <c r="AP112" s="635"/>
    </row>
    <row r="113" spans="35:42" x14ac:dyDescent="0.25">
      <c r="AI113" s="612"/>
      <c r="AJ113" s="612"/>
      <c r="AK113" s="612"/>
      <c r="AL113" s="612"/>
      <c r="AM113" s="612"/>
      <c r="AN113" s="612"/>
      <c r="AO113" s="612"/>
      <c r="AP113" s="612"/>
    </row>
    <row r="114" spans="35:42" x14ac:dyDescent="0.25">
      <c r="AI114" s="613"/>
      <c r="AJ114" s="629"/>
      <c r="AK114" s="630"/>
      <c r="AL114" s="630"/>
      <c r="AM114" s="630"/>
      <c r="AN114" s="630"/>
      <c r="AO114" s="630"/>
      <c r="AP114" s="630"/>
    </row>
    <row r="115" spans="35:42" x14ac:dyDescent="0.25">
      <c r="AI115" s="613"/>
      <c r="AJ115" s="632"/>
      <c r="AK115" s="633"/>
      <c r="AL115" s="633"/>
      <c r="AM115" s="633"/>
      <c r="AN115" s="574"/>
      <c r="AO115" s="574"/>
      <c r="AP115" s="574"/>
    </row>
    <row r="116" spans="35:42" x14ac:dyDescent="0.25">
      <c r="AI116" s="613"/>
      <c r="AJ116" s="632"/>
      <c r="AK116" s="633"/>
      <c r="AL116" s="633"/>
      <c r="AM116" s="633"/>
      <c r="AN116" s="574"/>
      <c r="AO116" s="574"/>
      <c r="AP116" s="574"/>
    </row>
    <row r="117" spans="35:42" x14ac:dyDescent="0.25">
      <c r="AI117" s="613"/>
      <c r="AJ117" s="632"/>
      <c r="AK117" s="633"/>
      <c r="AL117" s="633"/>
      <c r="AM117" s="633"/>
      <c r="AN117" s="574"/>
      <c r="AO117" s="574"/>
      <c r="AP117" s="574"/>
    </row>
    <row r="118" spans="35:42" x14ac:dyDescent="0.25">
      <c r="AI118" s="613"/>
      <c r="AJ118" s="632"/>
      <c r="AK118" s="633"/>
      <c r="AL118" s="633"/>
      <c r="AM118" s="633"/>
      <c r="AN118" s="633"/>
      <c r="AO118" s="633"/>
      <c r="AP118" s="633"/>
    </row>
    <row r="119" spans="35:42" x14ac:dyDescent="0.25">
      <c r="AI119" s="613"/>
      <c r="AJ119" s="632"/>
      <c r="AK119" s="631"/>
      <c r="AL119" s="631"/>
      <c r="AM119" s="631"/>
      <c r="AN119" s="635"/>
      <c r="AO119" s="635"/>
      <c r="AP119" s="635"/>
    </row>
    <row r="120" spans="35:42" x14ac:dyDescent="0.25">
      <c r="AI120" s="612"/>
      <c r="AJ120" s="612"/>
      <c r="AK120" s="612"/>
      <c r="AL120" s="612"/>
      <c r="AM120" s="612"/>
      <c r="AN120" s="612"/>
      <c r="AO120" s="612"/>
      <c r="AP120" s="612"/>
    </row>
    <row r="121" spans="35:42" x14ac:dyDescent="0.25">
      <c r="AI121" s="613"/>
      <c r="AJ121" s="629"/>
      <c r="AK121" s="630"/>
      <c r="AL121" s="630"/>
      <c r="AM121" s="630"/>
      <c r="AN121" s="630"/>
      <c r="AO121" s="630"/>
      <c r="AP121" s="630"/>
    </row>
    <row r="122" spans="35:42" x14ac:dyDescent="0.25">
      <c r="AI122" s="613"/>
      <c r="AJ122" s="632"/>
      <c r="AK122" s="633"/>
      <c r="AL122" s="633"/>
      <c r="AM122" s="633"/>
      <c r="AN122" s="574"/>
      <c r="AO122" s="574"/>
      <c r="AP122" s="574"/>
    </row>
    <row r="123" spans="35:42" x14ac:dyDescent="0.25">
      <c r="AI123" s="613"/>
      <c r="AJ123" s="632"/>
      <c r="AK123" s="633"/>
      <c r="AL123" s="633"/>
      <c r="AM123" s="633"/>
      <c r="AN123" s="574"/>
      <c r="AO123" s="574"/>
      <c r="AP123" s="574"/>
    </row>
    <row r="124" spans="35:42" x14ac:dyDescent="0.25">
      <c r="AI124" s="613"/>
      <c r="AJ124" s="632"/>
      <c r="AK124" s="633"/>
      <c r="AL124" s="633"/>
      <c r="AM124" s="633"/>
      <c r="AN124" s="574"/>
      <c r="AO124" s="574"/>
      <c r="AP124" s="574"/>
    </row>
    <row r="125" spans="35:42" x14ac:dyDescent="0.25">
      <c r="AI125" s="613"/>
      <c r="AJ125" s="632"/>
      <c r="AK125" s="633"/>
      <c r="AL125" s="633"/>
      <c r="AM125" s="633"/>
      <c r="AN125" s="633"/>
      <c r="AO125" s="633"/>
      <c r="AP125" s="633"/>
    </row>
    <row r="126" spans="35:42" x14ac:dyDescent="0.25">
      <c r="AI126" s="613"/>
      <c r="AJ126" s="632"/>
      <c r="AK126" s="631"/>
      <c r="AL126" s="631"/>
      <c r="AM126" s="631"/>
      <c r="AN126" s="635"/>
      <c r="AO126" s="635"/>
      <c r="AP126" s="635"/>
    </row>
    <row r="127" spans="35:42" x14ac:dyDescent="0.25">
      <c r="AI127" s="612"/>
      <c r="AJ127" s="612"/>
      <c r="AK127" s="612"/>
      <c r="AL127" s="612"/>
      <c r="AM127" s="612"/>
      <c r="AN127" s="612"/>
      <c r="AO127" s="612"/>
      <c r="AP127" s="612"/>
    </row>
    <row r="128" spans="35:42" x14ac:dyDescent="0.25">
      <c r="AI128" s="613"/>
      <c r="AJ128" s="629"/>
      <c r="AK128" s="630"/>
      <c r="AL128" s="630"/>
      <c r="AM128" s="630"/>
      <c r="AN128" s="630"/>
      <c r="AO128" s="630"/>
      <c r="AP128" s="630"/>
    </row>
    <row r="129" spans="35:42" x14ac:dyDescent="0.25">
      <c r="AI129" s="613"/>
      <c r="AJ129" s="632"/>
      <c r="AK129" s="633"/>
      <c r="AL129" s="633"/>
      <c r="AM129" s="633"/>
      <c r="AN129" s="574"/>
      <c r="AO129" s="574"/>
      <c r="AP129" s="574"/>
    </row>
    <row r="130" spans="35:42" x14ac:dyDescent="0.25">
      <c r="AI130" s="613"/>
      <c r="AJ130" s="632"/>
      <c r="AK130" s="633"/>
      <c r="AL130" s="633"/>
      <c r="AM130" s="633"/>
      <c r="AN130" s="574"/>
      <c r="AO130" s="574"/>
      <c r="AP130" s="574"/>
    </row>
    <row r="131" spans="35:42" x14ac:dyDescent="0.25">
      <c r="AI131" s="613"/>
      <c r="AJ131" s="632"/>
      <c r="AK131" s="633"/>
      <c r="AL131" s="633"/>
      <c r="AM131" s="633"/>
      <c r="AN131" s="574"/>
      <c r="AO131" s="574"/>
      <c r="AP131" s="574"/>
    </row>
    <row r="132" spans="35:42" x14ac:dyDescent="0.25">
      <c r="AI132" s="613"/>
      <c r="AJ132" s="632"/>
      <c r="AK132" s="633"/>
      <c r="AL132" s="633"/>
      <c r="AM132" s="633"/>
      <c r="AN132" s="633"/>
      <c r="AO132" s="633"/>
      <c r="AP132" s="633"/>
    </row>
    <row r="133" spans="35:42" x14ac:dyDescent="0.25">
      <c r="AI133" s="613"/>
      <c r="AJ133" s="632"/>
      <c r="AK133" s="631"/>
      <c r="AL133" s="631"/>
      <c r="AM133" s="631"/>
      <c r="AN133" s="635"/>
      <c r="AO133" s="635"/>
      <c r="AP133" s="635"/>
    </row>
    <row r="134" spans="35:42" x14ac:dyDescent="0.25">
      <c r="AI134" s="612"/>
      <c r="AJ134" s="612"/>
      <c r="AK134" s="612"/>
      <c r="AL134" s="612"/>
      <c r="AM134" s="612"/>
      <c r="AN134" s="612"/>
      <c r="AO134" s="612"/>
      <c r="AP134" s="612"/>
    </row>
    <row r="135" spans="35:42" x14ac:dyDescent="0.25">
      <c r="AI135" s="613"/>
      <c r="AJ135" s="629"/>
      <c r="AK135" s="630"/>
      <c r="AL135" s="630"/>
      <c r="AM135" s="630"/>
      <c r="AN135" s="630"/>
      <c r="AO135" s="630"/>
      <c r="AP135" s="630"/>
    </row>
    <row r="136" spans="35:42" x14ac:dyDescent="0.25">
      <c r="AI136" s="613"/>
      <c r="AJ136" s="632"/>
      <c r="AK136" s="633"/>
      <c r="AL136" s="633"/>
      <c r="AM136" s="633"/>
      <c r="AN136" s="574"/>
      <c r="AO136" s="574"/>
      <c r="AP136" s="574"/>
    </row>
    <row r="137" spans="35:42" x14ac:dyDescent="0.25">
      <c r="AI137" s="613"/>
      <c r="AJ137" s="632"/>
      <c r="AK137" s="633"/>
      <c r="AL137" s="633"/>
      <c r="AM137" s="633"/>
      <c r="AN137" s="574"/>
      <c r="AO137" s="574"/>
      <c r="AP137" s="574"/>
    </row>
    <row r="138" spans="35:42" x14ac:dyDescent="0.25">
      <c r="AI138" s="613"/>
      <c r="AJ138" s="632"/>
      <c r="AK138" s="633"/>
      <c r="AL138" s="633"/>
      <c r="AM138" s="633"/>
      <c r="AN138" s="574"/>
      <c r="AO138" s="574"/>
      <c r="AP138" s="574"/>
    </row>
    <row r="139" spans="35:42" x14ac:dyDescent="0.25">
      <c r="AI139" s="613"/>
      <c r="AJ139" s="632"/>
      <c r="AK139" s="633"/>
      <c r="AL139" s="633"/>
      <c r="AM139" s="633"/>
      <c r="AN139" s="633"/>
      <c r="AO139" s="633"/>
      <c r="AP139" s="633"/>
    </row>
    <row r="140" spans="35:42" x14ac:dyDescent="0.25">
      <c r="AI140" s="613"/>
      <c r="AJ140" s="632"/>
      <c r="AK140" s="631"/>
      <c r="AL140" s="631"/>
      <c r="AM140" s="631"/>
      <c r="AN140" s="635"/>
      <c r="AO140" s="635"/>
      <c r="AP140" s="635"/>
    </row>
    <row r="141" spans="35:42" x14ac:dyDescent="0.25">
      <c r="AI141" s="612"/>
      <c r="AJ141" s="612"/>
      <c r="AK141" s="612"/>
      <c r="AL141" s="612"/>
      <c r="AM141" s="612"/>
      <c r="AN141" s="612"/>
      <c r="AO141" s="612"/>
      <c r="AP141" s="612"/>
    </row>
    <row r="142" spans="35:42" x14ac:dyDescent="0.25">
      <c r="AI142" s="613"/>
      <c r="AJ142" s="629"/>
      <c r="AK142" s="630"/>
      <c r="AL142" s="630"/>
      <c r="AM142" s="630"/>
      <c r="AN142" s="630"/>
      <c r="AO142" s="630"/>
      <c r="AP142" s="630"/>
    </row>
    <row r="143" spans="35:42" x14ac:dyDescent="0.25">
      <c r="AI143" s="613"/>
      <c r="AJ143" s="632"/>
      <c r="AK143" s="633"/>
      <c r="AL143" s="633"/>
      <c r="AM143" s="633"/>
      <c r="AN143" s="574"/>
      <c r="AO143" s="574"/>
      <c r="AP143" s="574"/>
    </row>
    <row r="144" spans="35:42" x14ac:dyDescent="0.25">
      <c r="AI144" s="613"/>
      <c r="AJ144" s="632"/>
      <c r="AK144" s="633"/>
      <c r="AL144" s="633"/>
      <c r="AM144" s="633"/>
      <c r="AN144" s="574"/>
      <c r="AO144" s="574"/>
      <c r="AP144" s="574"/>
    </row>
    <row r="145" spans="35:42" x14ac:dyDescent="0.25">
      <c r="AI145" s="613"/>
      <c r="AJ145" s="632"/>
      <c r="AK145" s="633"/>
      <c r="AL145" s="633"/>
      <c r="AM145" s="633"/>
      <c r="AN145" s="574"/>
      <c r="AO145" s="574"/>
      <c r="AP145" s="574"/>
    </row>
    <row r="146" spans="35:42" x14ac:dyDescent="0.25">
      <c r="AI146" s="613"/>
      <c r="AJ146" s="632"/>
      <c r="AK146" s="633"/>
      <c r="AL146" s="633"/>
      <c r="AM146" s="633"/>
      <c r="AN146" s="633"/>
      <c r="AO146" s="633"/>
      <c r="AP146" s="633"/>
    </row>
    <row r="147" spans="35:42" x14ac:dyDescent="0.25">
      <c r="AI147" s="613"/>
      <c r="AJ147" s="632"/>
      <c r="AK147" s="631"/>
      <c r="AL147" s="631"/>
      <c r="AM147" s="631"/>
      <c r="AN147" s="635"/>
      <c r="AO147" s="635"/>
      <c r="AP147" s="635"/>
    </row>
    <row r="148" spans="35:42" x14ac:dyDescent="0.25">
      <c r="AI148" s="612"/>
      <c r="AJ148" s="612"/>
      <c r="AK148" s="612"/>
      <c r="AL148" s="612"/>
      <c r="AM148" s="612"/>
      <c r="AN148" s="612"/>
      <c r="AO148" s="612"/>
      <c r="AP148" s="612"/>
    </row>
    <row r="149" spans="35:42" x14ac:dyDescent="0.25">
      <c r="AI149" s="612"/>
      <c r="AJ149" s="612"/>
      <c r="AK149" s="612"/>
      <c r="AL149" s="612"/>
      <c r="AM149" s="612"/>
      <c r="AN149" s="612"/>
      <c r="AO149" s="612"/>
      <c r="AP149" s="612"/>
    </row>
    <row r="150" spans="35:42" x14ac:dyDescent="0.25">
      <c r="AI150" s="612"/>
      <c r="AJ150" s="612"/>
      <c r="AK150" s="612"/>
      <c r="AL150" s="612"/>
      <c r="AM150" s="612"/>
      <c r="AN150" s="612"/>
      <c r="AO150" s="612"/>
      <c r="AP150" s="612"/>
    </row>
    <row r="151" spans="35:42" x14ac:dyDescent="0.25">
      <c r="AI151" s="612"/>
      <c r="AJ151" s="612"/>
      <c r="AK151" s="612"/>
      <c r="AL151" s="612"/>
      <c r="AM151" s="612"/>
      <c r="AN151" s="612"/>
      <c r="AO151" s="612"/>
      <c r="AP151" s="612"/>
    </row>
  </sheetData>
  <sheetProtection algorithmName="SHA-512" hashValue="EEaHRDUEijm2l97Zb34c7sP+YZbYHZA2yT4U+W7IUXazP2rVlygujQcGsR+wydEf1R/YqstaP1YuckrmNJDUXQ==" saltValue="l2f3osPaTZ0vyZdu10KpOw==" spinCount="100000"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zoomScaleNormal="100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36" t="str">
        <f>'(B2) Struktura Organizative'!B5</f>
        <v>Emri i Nënfunksionit</v>
      </c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8"/>
    </row>
    <row r="2" spans="1:15" s="121" customFormat="1" ht="18.75" customHeight="1" x14ac:dyDescent="0.25">
      <c r="A2" s="310" t="str">
        <f>'(G1) Fjalori'!A64</f>
        <v>Nënfunksioni 1</v>
      </c>
      <c r="B2" s="894" t="str">
        <f>+VLOOKUP($A2,'(B2) Struktura Organizative'!$A7:$E68,2,FALSE)</f>
        <v>011 Organet ekzekutive dhe legjislative, për çështjet financiare dhe fiskale, çështjet e brendshme</v>
      </c>
      <c r="C2" s="895"/>
      <c r="D2" s="895"/>
      <c r="E2" s="895"/>
      <c r="F2" s="895"/>
      <c r="G2" s="895"/>
      <c r="H2" s="895"/>
      <c r="I2" s="895"/>
      <c r="J2" s="895"/>
      <c r="K2" s="895"/>
      <c r="L2" s="895"/>
      <c r="M2" s="895"/>
      <c r="N2" s="895"/>
      <c r="O2" s="896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Funksionale'!A8</f>
        <v>Programi 1a</v>
      </c>
      <c r="B6" s="940"/>
      <c r="C6" s="941" t="str">
        <f>VLOOKUP($A6,'(B3) Struktura Funksionale'!$A$7:$E$146,3,FALSE)</f>
        <v>Planifikimi Menaxhimi dhe Administrimi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Funksionale'!A9</f>
        <v>Programi 1b</v>
      </c>
      <c r="B7" s="940"/>
      <c r="C7" s="941" t="str">
        <f>VLOOKUP($A7,'(B3) Struktura Funksionale'!$A$7:$E$146,3,FALSE)</f>
        <v>Çështje financiare dhe fiskale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4.25" customHeight="1" x14ac:dyDescent="0.2">
      <c r="A8" s="939" t="str">
        <f>'(B3) Struktura Funksionale'!A10</f>
        <v>Programi 1c</v>
      </c>
      <c r="B8" s="940"/>
      <c r="C8" s="941" t="str">
        <f>VLOOKUP($A8,'(B3) Struktura Funksionale'!$A$7:$E$146,3,FALSE)</f>
        <v>Sherbime të pergjithshme publike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customHeight="1" x14ac:dyDescent="0.2">
      <c r="A9" s="939" t="str">
        <f>'(B3) Struktura Funksionale'!A11</f>
        <v>Programi 1d</v>
      </c>
      <c r="B9" s="940"/>
      <c r="C9" s="941" t="str">
        <f>VLOOKUP($A9,'(B3) Struktura Funksionale'!$A$7:$E$146,3,FALSE)</f>
        <v>Gjendja civile</v>
      </c>
      <c r="D9" s="942"/>
      <c r="E9" s="942"/>
      <c r="F9" s="942"/>
      <c r="G9" s="942"/>
      <c r="H9" s="943"/>
      <c r="I9" s="941" t="str">
        <f>VLOOKUP($A9,'(B3) Struktura Funksionale'!$A$7:$E$146,4,FALSE)</f>
        <v>E detyrueshme</v>
      </c>
      <c r="J9" s="942"/>
      <c r="K9" s="943"/>
      <c r="L9" s="941" t="str">
        <f>VLOOKUP($A9,'(B3) Struktura Funksionale'!$A$7:$E$146,5,FALSE)</f>
        <v>I deleguar</v>
      </c>
      <c r="M9" s="942"/>
      <c r="N9" s="942"/>
      <c r="O9" s="943"/>
    </row>
    <row r="10" spans="1:15" ht="13.5" customHeight="1" x14ac:dyDescent="0.2">
      <c r="A10" s="939" t="str">
        <f>'(B3) Struktura Funksionale'!A12</f>
        <v>Programi 1e</v>
      </c>
      <c r="B10" s="940"/>
      <c r="C10" s="941">
        <f>VLOOKUP($A10,'(B3) Struktura Funksionale'!$A$7:$E$146,3,FALSE)</f>
        <v>0</v>
      </c>
      <c r="D10" s="942"/>
      <c r="E10" s="942"/>
      <c r="F10" s="942"/>
      <c r="G10" s="942"/>
      <c r="H10" s="943"/>
      <c r="I10" s="941">
        <f>VLOOKUP($A10,'(B3) Struktura Funksionale'!$A$7:$E$146,4,FALSE)</f>
        <v>0</v>
      </c>
      <c r="J10" s="942"/>
      <c r="K10" s="943"/>
      <c r="L10" s="941">
        <f>VLOOKUP($A10,'(B3) Struktura Funksionale'!$A$7:$E$146,5,FALSE)</f>
        <v>0</v>
      </c>
      <c r="M10" s="942"/>
      <c r="N10" s="942"/>
      <c r="O10" s="943"/>
    </row>
    <row r="11" spans="1:15" ht="13.5" customHeight="1" x14ac:dyDescent="0.2">
      <c r="A11" s="939" t="str">
        <f>'(B3) Struktura Funksionale'!A13</f>
        <v>Programi 1f</v>
      </c>
      <c r="B11" s="940"/>
      <c r="C11" s="941">
        <f>VLOOKUP($A11,'(B3) Struktura Funksionale'!$A$7:$E$146,3,FALSE)</f>
        <v>0</v>
      </c>
      <c r="D11" s="942"/>
      <c r="E11" s="942"/>
      <c r="F11" s="942"/>
      <c r="G11" s="942"/>
      <c r="H11" s="943"/>
      <c r="I11" s="941">
        <f>VLOOKUP($A11,'(B3) Struktura Funksionale'!$A$7:$E$146,4,FALSE)</f>
        <v>0</v>
      </c>
      <c r="J11" s="942"/>
      <c r="K11" s="943"/>
      <c r="L11" s="941">
        <f>VLOOKUP($A11,'(B3) Struktura Funksionale'!$A$7:$E$146,5,FALSE)</f>
        <v>0</v>
      </c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</v>
      </c>
      <c r="B14" s="962" t="str">
        <f>B$2</f>
        <v>011 Organet ekzekutive dhe legjislative, për çështjet financiare dhe fiskale, çështjet e brendshme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179503</v>
      </c>
      <c r="C18" s="34">
        <f t="shared" ref="C18:G18" si="1">C72+C111+C150+C189+C228+C267</f>
        <v>179503</v>
      </c>
      <c r="D18" s="34">
        <f t="shared" si="1"/>
        <v>179503</v>
      </c>
      <c r="E18" s="129">
        <f t="shared" si="1"/>
        <v>215173</v>
      </c>
      <c r="F18" s="129">
        <f t="shared" si="1"/>
        <v>216173</v>
      </c>
      <c r="G18" s="129">
        <f t="shared" si="1"/>
        <v>216173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37243</v>
      </c>
      <c r="K19" s="35">
        <f t="shared" ref="K19:O19" si="2">K73+K112+K151+K190+K229+K268</f>
        <v>37243</v>
      </c>
      <c r="L19" s="35">
        <f t="shared" si="2"/>
        <v>37243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>M76+M115+M154+M193+M232+M271</f>
        <v>0</v>
      </c>
      <c r="N23" s="305">
        <f t="shared" ref="N23:O23" si="5">N76+N115+N154+N193+N232+N271</f>
        <v>0</v>
      </c>
      <c r="O23" s="305">
        <f t="shared" si="5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5">
        <f t="shared" ref="M25:O26" si="9">M78+M117+M156+M195+M234+M273</f>
        <v>0</v>
      </c>
      <c r="N25" s="548">
        <f t="shared" si="9"/>
        <v>0</v>
      </c>
      <c r="O25" s="550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 t="shared" ref="K27:O27" si="10">K80+K119+K158+K197+K236+K275</f>
        <v>120000</v>
      </c>
      <c r="L27" s="34">
        <f t="shared" si="10"/>
        <v>120000</v>
      </c>
      <c r="M27" s="129">
        <f t="shared" si="10"/>
        <v>0</v>
      </c>
      <c r="N27" s="129">
        <f t="shared" si="10"/>
        <v>0</v>
      </c>
      <c r="O27" s="129">
        <f t="shared" si="10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8"/>
        <v>4000</v>
      </c>
      <c r="F29" s="305">
        <f t="shared" si="8"/>
        <v>4000</v>
      </c>
      <c r="G29" s="305">
        <f t="shared" si="8"/>
        <v>4000</v>
      </c>
      <c r="H29" s="53"/>
      <c r="I29" s="137" t="str">
        <f>'(G1) Fjalori'!A395</f>
        <v xml:space="preserve">TË ARDHURAT E PRITSHME </v>
      </c>
      <c r="J29" s="34">
        <f>J82+J121+J160+J199+J238+J277</f>
        <v>37243</v>
      </c>
      <c r="K29" s="34">
        <f t="shared" ref="K29:O29" si="11">K82+K121+K160+K199+K238+K277</f>
        <v>157243</v>
      </c>
      <c r="L29" s="34">
        <f t="shared" si="11"/>
        <v>157243</v>
      </c>
      <c r="M29" s="129">
        <f t="shared" si="11"/>
        <v>0</v>
      </c>
      <c r="N29" s="129">
        <f t="shared" si="11"/>
        <v>0</v>
      </c>
      <c r="O29" s="129">
        <f t="shared" si="11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305">
        <f t="shared" si="8"/>
        <v>4000</v>
      </c>
      <c r="F33" s="305">
        <f t="shared" si="8"/>
        <v>4000</v>
      </c>
      <c r="G33" s="305">
        <f t="shared" si="8"/>
        <v>4000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>J88+J127+J166+J205+J244+J283</f>
        <v>142260</v>
      </c>
      <c r="K34" s="18">
        <f t="shared" ref="K34:O34" si="12">K88+K127+K166+K205+K244+K283</f>
        <v>22260</v>
      </c>
      <c r="L34" s="18">
        <f t="shared" si="12"/>
        <v>22260</v>
      </c>
      <c r="M34" s="18">
        <f t="shared" si="12"/>
        <v>215173</v>
      </c>
      <c r="N34" s="18">
        <f t="shared" si="12"/>
        <v>216173</v>
      </c>
      <c r="O34" s="18">
        <f t="shared" si="12"/>
        <v>216173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>E89+E128+E167+E206+E245+E284</f>
        <v>126418</v>
      </c>
      <c r="F35" s="305">
        <f t="shared" ref="F35:G35" si="13">F89+F128+F167+F206+F245+F284</f>
        <v>127418</v>
      </c>
      <c r="G35" s="305">
        <f t="shared" si="13"/>
        <v>127218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66">
        <f t="shared" ref="B36:B45" si="15">B23</f>
        <v>601</v>
      </c>
      <c r="C36" s="967"/>
      <c r="D36" s="968"/>
      <c r="E36" s="305">
        <f t="shared" ref="E36:G46" si="16">E90+E129+E168+E207+E246+E285</f>
        <v>21115</v>
      </c>
      <c r="F36" s="305">
        <f t="shared" si="16"/>
        <v>21115</v>
      </c>
      <c r="G36" s="305">
        <f t="shared" si="16"/>
        <v>21315</v>
      </c>
      <c r="H36" s="53"/>
    </row>
    <row r="37" spans="1:15" ht="12.75" x14ac:dyDescent="0.2">
      <c r="A37" s="124" t="str">
        <f t="shared" si="14"/>
        <v>Mallra dhe shërbime</v>
      </c>
      <c r="B37" s="966">
        <f t="shared" si="15"/>
        <v>602</v>
      </c>
      <c r="C37" s="967"/>
      <c r="D37" s="968"/>
      <c r="E37" s="305">
        <f t="shared" si="16"/>
        <v>63640</v>
      </c>
      <c r="F37" s="305">
        <f>F91+F130+F169+F208+F247+F286</f>
        <v>63640</v>
      </c>
      <c r="G37" s="305">
        <f t="shared" si="16"/>
        <v>63640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66">
        <f t="shared" si="15"/>
        <v>603</v>
      </c>
      <c r="C38" s="967"/>
      <c r="D38" s="968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66">
        <f t="shared" si="15"/>
        <v>604</v>
      </c>
      <c r="C39" s="967"/>
      <c r="D39" s="968"/>
      <c r="E39" s="305">
        <f t="shared" si="16"/>
        <v>0</v>
      </c>
      <c r="F39" s="305">
        <f>F93+F132+F171+F210+F249+F288</f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66">
        <f t="shared" si="15"/>
        <v>605</v>
      </c>
      <c r="C40" s="967"/>
      <c r="D40" s="968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66">
        <f t="shared" si="15"/>
        <v>606</v>
      </c>
      <c r="C41" s="967"/>
      <c r="D41" s="968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1023"/>
      <c r="K41" s="1023"/>
      <c r="L41" s="1023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49" t="str">
        <f t="shared" si="14"/>
        <v>Shpenzimet kapitale</v>
      </c>
      <c r="B42" s="993" t="str">
        <f t="shared" si="15"/>
        <v>230 / 231</v>
      </c>
      <c r="C42" s="994"/>
      <c r="D42" s="995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66">
        <f t="shared" si="15"/>
        <v>609</v>
      </c>
      <c r="C43" s="967"/>
      <c r="D43" s="968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14"/>
        <v>Interesa per kredi direkte ose bono</v>
      </c>
      <c r="B44" s="996">
        <f t="shared" si="15"/>
        <v>650</v>
      </c>
      <c r="C44" s="997"/>
      <c r="D44" s="998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14"/>
        <v>Të tjera</v>
      </c>
      <c r="B45" s="966" t="str">
        <f t="shared" si="15"/>
        <v>69 / ?</v>
      </c>
      <c r="C45" s="967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16"/>
        <v>211173</v>
      </c>
      <c r="F46" s="129">
        <f t="shared" si="16"/>
        <v>212173</v>
      </c>
      <c r="G46" s="129">
        <f t="shared" si="16"/>
        <v>212173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>B102+B141+B180+B219+B258+B297</f>
        <v>179503</v>
      </c>
      <c r="C48" s="34">
        <f t="shared" ref="C48:G48" si="19">C102+C141+C180+C219+C258+C297</f>
        <v>179503</v>
      </c>
      <c r="D48" s="34">
        <f t="shared" si="19"/>
        <v>179503</v>
      </c>
      <c r="E48" s="129">
        <f t="shared" si="19"/>
        <v>215173</v>
      </c>
      <c r="F48" s="129">
        <f t="shared" si="19"/>
        <v>216173</v>
      </c>
      <c r="G48" s="129">
        <f t="shared" si="19"/>
        <v>216173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20">N70</f>
        <v>2023</v>
      </c>
      <c r="O51" s="251">
        <f t="shared" si="20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215173</v>
      </c>
      <c r="N52" s="138">
        <f>VLOOKUP($A14,'(D1) Tavanet buxhetore'!$A$7:$R$473,8,FALSE)</f>
        <v>216173</v>
      </c>
      <c r="O52" s="673">
        <f>VLOOKUP($A14,'(D1) Tavanet buxhetore'!$A$7:$R$473,9,FALSE)</f>
        <v>216173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215173</v>
      </c>
      <c r="N53" s="139">
        <f t="shared" ref="N53:O53" si="21">F18</f>
        <v>216173</v>
      </c>
      <c r="O53" s="674">
        <f t="shared" si="21"/>
        <v>216173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147533</v>
      </c>
      <c r="N55" s="138">
        <f>VLOOKUP($A14,'(D1) Tavanet buxhetore'!$A$7:$R$473,11,FALSE)</f>
        <v>148533</v>
      </c>
      <c r="O55" s="673">
        <f>VLOOKUP($A14,'(D1) Tavanet buxhetore'!$A$7:$R$473,12,FALSE)</f>
        <v>148533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147533</v>
      </c>
      <c r="N56" s="139">
        <f t="shared" ref="N56:O56" si="23">F22+F35+F23+F36</f>
        <v>148533</v>
      </c>
      <c r="O56" s="674">
        <f t="shared" si="23"/>
        <v>148533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63640</v>
      </c>
      <c r="N58" s="138">
        <f>VLOOKUP($A14,'(D1) Tavanet buxhetore'!$A$7:$R$473,14,FALSE)</f>
        <v>63640</v>
      </c>
      <c r="O58" s="673">
        <f>VLOOKUP($A14,'(D1) Tavanet buxhetore'!$A$7:$R$473,15,FALSE)</f>
        <v>63640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63640</v>
      </c>
      <c r="N59" s="139">
        <f>N53-N56-N62</f>
        <v>63640</v>
      </c>
      <c r="O59" s="674">
        <f>O53-O56-O62</f>
        <v>63640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4000</v>
      </c>
      <c r="N61" s="138">
        <f>VLOOKUP($A14,'(D1) Tavanet buxhetore'!$A$7:$R$473,17,FALSE)</f>
        <v>4000</v>
      </c>
      <c r="O61" s="673">
        <f>VLOOKUP($A14,'(D1) Tavanet buxhetore'!$A$7:$R$473,18,FALSE)</f>
        <v>4000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4000</v>
      </c>
      <c r="N62" s="139">
        <f t="shared" ref="N62:O62" si="26">F29+F42</f>
        <v>4000</v>
      </c>
      <c r="O62" s="674">
        <f t="shared" si="26"/>
        <v>4000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62" t="str">
        <f t="shared" si="28"/>
        <v>011 Organet ekzekutive dhe legjislative, për çështjet financiare dhe fiskale, çështjet e brendshme</v>
      </c>
      <c r="C66" s="962">
        <f t="shared" si="28"/>
        <v>0</v>
      </c>
      <c r="D66" s="962">
        <f t="shared" si="28"/>
        <v>0</v>
      </c>
      <c r="E66" s="962">
        <f t="shared" si="28"/>
        <v>0</v>
      </c>
      <c r="F66" s="962">
        <f t="shared" si="28"/>
        <v>0</v>
      </c>
      <c r="G66" s="962">
        <f t="shared" si="28"/>
        <v>0</v>
      </c>
      <c r="H66" s="962">
        <f t="shared" si="28"/>
        <v>0</v>
      </c>
      <c r="I66" s="962">
        <f t="shared" si="28"/>
        <v>0</v>
      </c>
      <c r="J66" s="962">
        <f t="shared" si="28"/>
        <v>0</v>
      </c>
      <c r="K66" s="962">
        <f t="shared" si="28"/>
        <v>0</v>
      </c>
      <c r="L66" s="962">
        <f t="shared" si="28"/>
        <v>0</v>
      </c>
      <c r="M66" s="962">
        <f t="shared" si="28"/>
        <v>0</v>
      </c>
      <c r="N66" s="962">
        <f t="shared" si="28"/>
        <v>0</v>
      </c>
      <c r="O66" s="962">
        <f t="shared" si="28"/>
        <v>0</v>
      </c>
    </row>
    <row r="67" spans="1:15" ht="17.25" customHeight="1" x14ac:dyDescent="0.2">
      <c r="A67" s="573" t="str">
        <f>A6</f>
        <v>Programi 1a</v>
      </c>
      <c r="B67" s="1020" t="str">
        <f>C6</f>
        <v>Planifikimi Menaxhimi dhe Administrimi</v>
      </c>
      <c r="C67" s="1020" t="e">
        <f>#REF!</f>
        <v>#REF!</v>
      </c>
      <c r="D67" s="1020" t="e">
        <f>#REF!</f>
        <v>#REF!</v>
      </c>
      <c r="E67" s="1020" t="e">
        <f>#REF!</f>
        <v>#REF!</v>
      </c>
      <c r="F67" s="1020" t="e">
        <f>#REF!</f>
        <v>#REF!</v>
      </c>
      <c r="G67" s="1020" t="e">
        <f>#REF!</f>
        <v>#REF!</v>
      </c>
      <c r="H67" s="1020" t="e">
        <f>#REF!</f>
        <v>#REF!</v>
      </c>
      <c r="I67" s="1020" t="e">
        <f>#REF!</f>
        <v>#REF!</v>
      </c>
      <c r="J67" s="1020" t="e">
        <f>#REF!</f>
        <v>#REF!</v>
      </c>
      <c r="K67" s="1020" t="e">
        <f>#REF!</f>
        <v>#REF!</v>
      </c>
      <c r="L67" s="1020" t="e">
        <f>#REF!</f>
        <v>#REF!</v>
      </c>
      <c r="M67" s="1020" t="e">
        <f>#REF!</f>
        <v>#REF!</v>
      </c>
      <c r="N67" s="1020" t="e">
        <f>#REF!</f>
        <v>#REF!</v>
      </c>
      <c r="O67" s="1020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1025"/>
      <c r="C68" s="1025"/>
      <c r="D68" s="1025"/>
      <c r="E68" s="1025"/>
      <c r="F68" s="1025"/>
      <c r="G68" s="1025"/>
      <c r="H68" s="1025"/>
      <c r="I68" s="1025"/>
      <c r="J68" s="1025"/>
      <c r="K68" s="1025"/>
      <c r="L68" s="1025"/>
      <c r="M68" s="1025"/>
      <c r="N68" s="1025"/>
      <c r="O68" s="1026"/>
    </row>
    <row r="69" spans="1:15" ht="21" customHeight="1" x14ac:dyDescent="0.2">
      <c r="A69" s="989" t="str">
        <f t="shared" ref="A69:G69" si="29">A15</f>
        <v>SHPENZIME TË PRITSHME</v>
      </c>
      <c r="B69" s="990">
        <f t="shared" si="29"/>
        <v>0</v>
      </c>
      <c r="C69" s="990">
        <f t="shared" si="29"/>
        <v>0</v>
      </c>
      <c r="D69" s="990">
        <f t="shared" si="29"/>
        <v>0</v>
      </c>
      <c r="E69" s="990">
        <f t="shared" si="29"/>
        <v>0</v>
      </c>
      <c r="F69" s="990">
        <f t="shared" si="29"/>
        <v>0</v>
      </c>
      <c r="G69" s="991">
        <f t="shared" si="29"/>
        <v>0</v>
      </c>
      <c r="H69" s="131"/>
      <c r="I69" s="992" t="str">
        <f t="shared" ref="I69:O69" si="30">I15</f>
        <v xml:space="preserve">TË ARDHURAT E PRITSHME </v>
      </c>
      <c r="J69" s="990">
        <f t="shared" si="30"/>
        <v>0</v>
      </c>
      <c r="K69" s="990">
        <f t="shared" si="30"/>
        <v>0</v>
      </c>
      <c r="L69" s="990">
        <f t="shared" si="30"/>
        <v>0</v>
      </c>
      <c r="M69" s="990">
        <f t="shared" si="30"/>
        <v>0</v>
      </c>
      <c r="N69" s="990">
        <f t="shared" si="30"/>
        <v>0</v>
      </c>
      <c r="O69" s="991">
        <f t="shared" si="30"/>
        <v>0</v>
      </c>
    </row>
    <row r="70" spans="1:15" ht="19.5" customHeight="1" x14ac:dyDescent="0.2">
      <c r="A70" s="211"/>
      <c r="B70" s="417">
        <f t="shared" ref="B70:G70" si="31">B16</f>
        <v>2019</v>
      </c>
      <c r="C70" s="417">
        <f t="shared" si="31"/>
        <v>2020</v>
      </c>
      <c r="D70" s="417">
        <f t="shared" si="31"/>
        <v>2021</v>
      </c>
      <c r="E70" s="251">
        <f t="shared" si="31"/>
        <v>2022</v>
      </c>
      <c r="F70" s="251">
        <f t="shared" si="31"/>
        <v>2023</v>
      </c>
      <c r="G70" s="251">
        <f t="shared" si="31"/>
        <v>2024</v>
      </c>
      <c r="H70" s="212"/>
      <c r="I70" s="414"/>
      <c r="J70" s="417">
        <f t="shared" ref="J70:O70" si="32">J16</f>
        <v>2019</v>
      </c>
      <c r="K70" s="417">
        <f t="shared" si="32"/>
        <v>2020</v>
      </c>
      <c r="L70" s="417">
        <f t="shared" si="32"/>
        <v>2021</v>
      </c>
      <c r="M70" s="251">
        <f t="shared" si="32"/>
        <v>2022</v>
      </c>
      <c r="N70" s="251">
        <f t="shared" si="32"/>
        <v>2023</v>
      </c>
      <c r="O70" s="251">
        <f t="shared" si="32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169472</v>
      </c>
      <c r="C72" s="345">
        <f>VLOOKUP(A67,'(C1) Shpenzimet vitet e kaluara'!A$9:O$177,9,FALSE)</f>
        <v>169472</v>
      </c>
      <c r="D72" s="345">
        <f>VLOOKUP(A67,'(C1) Shpenzimet vitet e kaluara'!A$9:O$177,13,FALSE)</f>
        <v>169472</v>
      </c>
      <c r="E72" s="416">
        <v>197903</v>
      </c>
      <c r="F72" s="416">
        <v>198903</v>
      </c>
      <c r="G72" s="416">
        <v>198903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37243</v>
      </c>
      <c r="K73" s="35">
        <f>VLOOKUP($A67,'(C1) Shpenzimet vitet e kaluara'!$A$9:$O$177,10,FALSE)</f>
        <v>37243</v>
      </c>
      <c r="L73" s="35">
        <f>VLOOKUP($A67,'(C1) Shpenzimet vitet e kaluara'!$A$9:$O$177,14,FALSE)</f>
        <v>37243</v>
      </c>
      <c r="M73" s="37"/>
      <c r="N73" s="37"/>
      <c r="O73" s="37"/>
    </row>
    <row r="74" spans="1:15" ht="12.75" x14ac:dyDescent="0.2">
      <c r="A74" s="969" t="str">
        <f t="shared" ref="A74:G75" si="33">A20</f>
        <v>SHPENZIME TË PRITSHME</v>
      </c>
      <c r="B74" s="970">
        <f t="shared" si="33"/>
        <v>0</v>
      </c>
      <c r="C74" s="970">
        <f t="shared" si="33"/>
        <v>0</v>
      </c>
      <c r="D74" s="970">
        <f t="shared" si="33"/>
        <v>0</v>
      </c>
      <c r="E74" s="970">
        <f t="shared" si="33"/>
        <v>0</v>
      </c>
      <c r="F74" s="970">
        <f t="shared" si="33"/>
        <v>0</v>
      </c>
      <c r="G74" s="971">
        <f t="shared" si="33"/>
        <v>0</v>
      </c>
      <c r="H74" s="10"/>
    </row>
    <row r="75" spans="1:15" ht="12.75" x14ac:dyDescent="0.2">
      <c r="A75" s="963" t="str">
        <f t="shared" si="33"/>
        <v>KOSTO DIREKTE PËR PROJEKTET DHE SHPENZIMET KAPITALE</v>
      </c>
      <c r="B75" s="964">
        <f t="shared" si="33"/>
        <v>0</v>
      </c>
      <c r="C75" s="964">
        <f t="shared" si="33"/>
        <v>0</v>
      </c>
      <c r="D75" s="964">
        <f t="shared" si="33"/>
        <v>0</v>
      </c>
      <c r="E75" s="964">
        <f t="shared" si="33"/>
        <v>0</v>
      </c>
      <c r="F75" s="964">
        <f t="shared" si="33"/>
        <v>0</v>
      </c>
      <c r="G75" s="965">
        <f t="shared" si="33"/>
        <v>0</v>
      </c>
      <c r="H75" s="31"/>
      <c r="I75" s="963" t="str">
        <f t="shared" ref="I75:I80" si="34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35">A22</f>
        <v>Pagat</v>
      </c>
      <c r="B76" s="966">
        <f t="shared" si="35"/>
        <v>600</v>
      </c>
      <c r="C76" s="967">
        <f t="shared" si="35"/>
        <v>0</v>
      </c>
      <c r="D76" s="968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66">
        <f t="shared" si="35"/>
        <v>601</v>
      </c>
      <c r="C77" s="967">
        <f t="shared" si="35"/>
        <v>0</v>
      </c>
      <c r="D77" s="968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66">
        <f t="shared" si="35"/>
        <v>602</v>
      </c>
      <c r="C78" s="967">
        <f t="shared" si="35"/>
        <v>0</v>
      </c>
      <c r="D78" s="968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66">
        <f t="shared" si="35"/>
        <v>603</v>
      </c>
      <c r="C79" s="967">
        <f t="shared" si="35"/>
        <v>0</v>
      </c>
      <c r="D79" s="968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66">
        <f t="shared" si="35"/>
        <v>604</v>
      </c>
      <c r="C80" s="967">
        <f t="shared" si="35"/>
        <v>0</v>
      </c>
      <c r="D80" s="968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120000</v>
      </c>
      <c r="L80" s="35">
        <f>VLOOKUP($A67,'(C1) Shpenzimet vitet e kaluara'!$A$9:$O$177,15,FALSE)</f>
        <v>120000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66">
        <f t="shared" si="35"/>
        <v>605</v>
      </c>
      <c r="C81" s="967">
        <f t="shared" si="35"/>
        <v>0</v>
      </c>
      <c r="D81" s="968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66">
        <f t="shared" si="35"/>
        <v>606</v>
      </c>
      <c r="C82" s="967">
        <f t="shared" si="35"/>
        <v>0</v>
      </c>
      <c r="D82" s="968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37243</v>
      </c>
      <c r="K82" s="34">
        <f>K73+K80</f>
        <v>157243</v>
      </c>
      <c r="L82" s="34">
        <f>L73+L80</f>
        <v>157243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66" t="str">
        <f t="shared" si="35"/>
        <v>230 / 231</v>
      </c>
      <c r="C83" s="967">
        <f t="shared" si="35"/>
        <v>0</v>
      </c>
      <c r="D83" s="968">
        <f t="shared" si="35"/>
        <v>0</v>
      </c>
      <c r="E83" s="37">
        <v>4000</v>
      </c>
      <c r="F83" s="37">
        <v>4000</v>
      </c>
      <c r="G83" s="37">
        <v>4000</v>
      </c>
      <c r="H83" s="53"/>
    </row>
    <row r="84" spans="1:16" ht="12.75" x14ac:dyDescent="0.2">
      <c r="A84" s="124" t="str">
        <f t="shared" si="35"/>
        <v>Rezerva</v>
      </c>
      <c r="B84" s="966">
        <f t="shared" si="35"/>
        <v>609</v>
      </c>
      <c r="C84" s="967">
        <f t="shared" si="35"/>
        <v>0</v>
      </c>
      <c r="D84" s="968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66">
        <f t="shared" si="35"/>
        <v>650</v>
      </c>
      <c r="C85" s="967">
        <f t="shared" si="35"/>
        <v>0</v>
      </c>
      <c r="D85" s="968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66" t="str">
        <f t="shared" si="35"/>
        <v>69 / ?</v>
      </c>
      <c r="C86" s="967">
        <f t="shared" si="35"/>
        <v>0</v>
      </c>
      <c r="D86" s="968">
        <f t="shared" si="35"/>
        <v>0</v>
      </c>
      <c r="E86" s="129"/>
      <c r="F86" s="129"/>
      <c r="G86" s="129"/>
      <c r="H86" s="53"/>
      <c r="I86" s="972" t="str">
        <f t="shared" ref="I86:O87" si="37">I32</f>
        <v>SHUMA E KËRKUAR NETO</v>
      </c>
      <c r="J86" s="973">
        <f t="shared" si="37"/>
        <v>0</v>
      </c>
      <c r="K86" s="973">
        <f t="shared" si="37"/>
        <v>0</v>
      </c>
      <c r="L86" s="973">
        <f t="shared" si="37"/>
        <v>0</v>
      </c>
      <c r="M86" s="973">
        <f t="shared" si="37"/>
        <v>0</v>
      </c>
      <c r="N86" s="973">
        <f t="shared" si="37"/>
        <v>0</v>
      </c>
      <c r="O86" s="974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66">
        <f t="shared" si="35"/>
        <v>0</v>
      </c>
      <c r="C87" s="967">
        <f t="shared" si="35"/>
        <v>0</v>
      </c>
      <c r="D87" s="968">
        <f t="shared" si="35"/>
        <v>0</v>
      </c>
      <c r="E87" s="129">
        <f>SUM(E76:E86)</f>
        <v>4000</v>
      </c>
      <c r="F87" s="129">
        <f t="shared" ref="F87:G87" si="38">SUM(F76:F86)</f>
        <v>4000</v>
      </c>
      <c r="G87" s="129">
        <f t="shared" si="38"/>
        <v>4000</v>
      </c>
      <c r="H87" s="53"/>
      <c r="I87" s="975">
        <f t="shared" si="37"/>
        <v>0</v>
      </c>
      <c r="J87" s="976">
        <f t="shared" si="37"/>
        <v>0</v>
      </c>
      <c r="K87" s="976">
        <f t="shared" si="37"/>
        <v>0</v>
      </c>
      <c r="L87" s="976">
        <f t="shared" si="37"/>
        <v>0</v>
      </c>
      <c r="M87" s="976">
        <f t="shared" si="37"/>
        <v>0</v>
      </c>
      <c r="N87" s="976">
        <f t="shared" si="37"/>
        <v>0</v>
      </c>
      <c r="O87" s="977">
        <f t="shared" si="37"/>
        <v>0</v>
      </c>
    </row>
    <row r="88" spans="1:16" ht="12.75" x14ac:dyDescent="0.2">
      <c r="A88" s="963" t="str">
        <f t="shared" si="35"/>
        <v>SHPENZIME KORRENTE</v>
      </c>
      <c r="B88" s="964">
        <f t="shared" si="35"/>
        <v>0</v>
      </c>
      <c r="C88" s="964">
        <f t="shared" si="35"/>
        <v>0</v>
      </c>
      <c r="D88" s="964">
        <f t="shared" si="35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9">B72-J82</f>
        <v>132229</v>
      </c>
      <c r="K88" s="18">
        <f t="shared" si="39"/>
        <v>12229</v>
      </c>
      <c r="L88" s="18">
        <f t="shared" si="39"/>
        <v>12229</v>
      </c>
      <c r="M88" s="18">
        <f t="shared" si="39"/>
        <v>197903</v>
      </c>
      <c r="N88" s="18">
        <f t="shared" si="39"/>
        <v>198903</v>
      </c>
      <c r="O88" s="18">
        <f t="shared" si="39"/>
        <v>198903</v>
      </c>
    </row>
    <row r="89" spans="1:16" ht="12.75" x14ac:dyDescent="0.2">
      <c r="A89" s="124" t="str">
        <f t="shared" si="35"/>
        <v>Pagat</v>
      </c>
      <c r="B89" s="966">
        <f t="shared" si="35"/>
        <v>600</v>
      </c>
      <c r="C89" s="967">
        <f t="shared" si="35"/>
        <v>0</v>
      </c>
      <c r="D89" s="968">
        <f t="shared" si="35"/>
        <v>0</v>
      </c>
      <c r="E89" s="37">
        <v>111664</v>
      </c>
      <c r="F89" s="37">
        <v>112664</v>
      </c>
      <c r="G89" s="37">
        <f>111664+800</f>
        <v>112464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66">
        <f t="shared" si="35"/>
        <v>601</v>
      </c>
      <c r="C90" s="967">
        <f t="shared" si="35"/>
        <v>0</v>
      </c>
      <c r="D90" s="968">
        <f t="shared" si="35"/>
        <v>0</v>
      </c>
      <c r="E90" s="37">
        <v>18649</v>
      </c>
      <c r="F90" s="37">
        <v>18649</v>
      </c>
      <c r="G90" s="37">
        <f>18649+200</f>
        <v>18849</v>
      </c>
      <c r="H90" s="53"/>
    </row>
    <row r="91" spans="1:16" ht="12.75" x14ac:dyDescent="0.2">
      <c r="A91" s="124" t="str">
        <f t="shared" si="35"/>
        <v>Mallra dhe shërbime</v>
      </c>
      <c r="B91" s="966">
        <f t="shared" si="35"/>
        <v>602</v>
      </c>
      <c r="C91" s="967">
        <f t="shared" si="35"/>
        <v>0</v>
      </c>
      <c r="D91" s="968">
        <f t="shared" si="35"/>
        <v>0</v>
      </c>
      <c r="E91" s="37">
        <v>63590</v>
      </c>
      <c r="F91" s="37">
        <v>63590</v>
      </c>
      <c r="G91" s="37">
        <v>63590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66">
        <f t="shared" si="35"/>
        <v>603</v>
      </c>
      <c r="C92" s="967">
        <f t="shared" si="35"/>
        <v>0</v>
      </c>
      <c r="D92" s="968">
        <f t="shared" si="35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66">
        <f t="shared" si="35"/>
        <v>604</v>
      </c>
      <c r="C93" s="967">
        <f t="shared" si="35"/>
        <v>0</v>
      </c>
      <c r="D93" s="968">
        <f t="shared" si="35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66">
        <f t="shared" si="35"/>
        <v>605</v>
      </c>
      <c r="C94" s="967">
        <f t="shared" si="35"/>
        <v>0</v>
      </c>
      <c r="D94" s="968">
        <f t="shared" si="35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66">
        <f t="shared" si="35"/>
        <v>606</v>
      </c>
      <c r="C95" s="967">
        <f t="shared" si="35"/>
        <v>0</v>
      </c>
      <c r="D95" s="968">
        <f t="shared" si="35"/>
        <v>0</v>
      </c>
      <c r="E95" s="37"/>
      <c r="F95" s="37"/>
      <c r="G95" s="37"/>
      <c r="H95" s="53"/>
      <c r="I95" s="315"/>
      <c r="J95" s="1023"/>
      <c r="K95" s="1023"/>
      <c r="L95" s="1023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49" t="str">
        <f t="shared" si="35"/>
        <v>Shpenzimet kapitale</v>
      </c>
      <c r="B96" s="993" t="str">
        <f t="shared" si="35"/>
        <v>230 / 231</v>
      </c>
      <c r="C96" s="994">
        <f t="shared" si="35"/>
        <v>0</v>
      </c>
      <c r="D96" s="995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66">
        <f t="shared" si="35"/>
        <v>609</v>
      </c>
      <c r="C97" s="967">
        <f t="shared" si="35"/>
        <v>0</v>
      </c>
      <c r="D97" s="968">
        <f t="shared" si="35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35"/>
        <v>Interesa per kredi direkte ose bono</v>
      </c>
      <c r="B98" s="996">
        <f t="shared" si="35"/>
        <v>650</v>
      </c>
      <c r="C98" s="997">
        <f t="shared" si="35"/>
        <v>0</v>
      </c>
      <c r="D98" s="998">
        <f t="shared" si="35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193903</v>
      </c>
      <c r="F100" s="129">
        <f t="shared" ref="F100:G100" si="41">SUM(F89:F99)</f>
        <v>194903</v>
      </c>
      <c r="G100" s="129">
        <f t="shared" si="41"/>
        <v>194903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169472</v>
      </c>
      <c r="C102" s="34">
        <f t="shared" ref="C102:D102" si="42">C72</f>
        <v>169472</v>
      </c>
      <c r="D102" s="34">
        <f t="shared" si="42"/>
        <v>169472</v>
      </c>
      <c r="E102" s="129">
        <f>E87+E100</f>
        <v>197903</v>
      </c>
      <c r="F102" s="129">
        <f>F87+F100</f>
        <v>198903</v>
      </c>
      <c r="G102" s="129">
        <f t="shared" ref="G102" si="43">G87+G100</f>
        <v>198903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44">A66</f>
        <v>Nënfunksioni 1</v>
      </c>
      <c r="B105" s="962" t="str">
        <f t="shared" si="44"/>
        <v>011 Organet ekzekutive dhe legjislative, për çështjet financiare dhe fiskale, çështjet e brendshme</v>
      </c>
      <c r="C105" s="962">
        <f t="shared" si="44"/>
        <v>0</v>
      </c>
      <c r="D105" s="962">
        <f t="shared" si="44"/>
        <v>0</v>
      </c>
      <c r="E105" s="962">
        <f t="shared" si="44"/>
        <v>0</v>
      </c>
      <c r="F105" s="962">
        <f t="shared" si="44"/>
        <v>0</v>
      </c>
      <c r="G105" s="962">
        <f t="shared" si="44"/>
        <v>0</v>
      </c>
      <c r="H105" s="962">
        <f t="shared" si="44"/>
        <v>0</v>
      </c>
      <c r="I105" s="962">
        <f t="shared" si="44"/>
        <v>0</v>
      </c>
      <c r="J105" s="962">
        <f t="shared" si="44"/>
        <v>0</v>
      </c>
      <c r="K105" s="962">
        <f t="shared" si="44"/>
        <v>0</v>
      </c>
      <c r="L105" s="962">
        <f t="shared" si="44"/>
        <v>0</v>
      </c>
      <c r="M105" s="962">
        <f t="shared" si="44"/>
        <v>0</v>
      </c>
      <c r="N105" s="962">
        <f t="shared" si="44"/>
        <v>0</v>
      </c>
      <c r="O105" s="962">
        <f t="shared" si="44"/>
        <v>0</v>
      </c>
    </row>
    <row r="106" spans="1:15" ht="17.25" customHeight="1" x14ac:dyDescent="0.2">
      <c r="A106" s="276" t="str">
        <f>A7</f>
        <v>Programi 1b</v>
      </c>
      <c r="B106" s="962" t="str">
        <f>C7</f>
        <v>Çështje financiare dhe fiskale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45">A69</f>
        <v>SHPENZIME TË PRITSHME</v>
      </c>
      <c r="B108" s="990">
        <f t="shared" si="45"/>
        <v>0</v>
      </c>
      <c r="C108" s="990">
        <f t="shared" si="45"/>
        <v>0</v>
      </c>
      <c r="D108" s="990">
        <f t="shared" si="45"/>
        <v>0</v>
      </c>
      <c r="E108" s="990">
        <f t="shared" si="45"/>
        <v>0</v>
      </c>
      <c r="F108" s="990">
        <f t="shared" si="45"/>
        <v>0</v>
      </c>
      <c r="G108" s="991">
        <f t="shared" si="45"/>
        <v>0</v>
      </c>
      <c r="H108" s="131"/>
      <c r="I108" s="992" t="str">
        <f t="shared" ref="I108:O108" si="46">I69</f>
        <v xml:space="preserve">TË ARDHURAT E PRITSHME </v>
      </c>
      <c r="J108" s="990">
        <f t="shared" si="46"/>
        <v>0</v>
      </c>
      <c r="K108" s="990">
        <f t="shared" si="46"/>
        <v>0</v>
      </c>
      <c r="L108" s="990">
        <f t="shared" si="46"/>
        <v>0</v>
      </c>
      <c r="M108" s="990">
        <f t="shared" si="46"/>
        <v>0</v>
      </c>
      <c r="N108" s="990">
        <f t="shared" si="46"/>
        <v>0</v>
      </c>
      <c r="O108" s="991">
        <f t="shared" si="46"/>
        <v>0</v>
      </c>
    </row>
    <row r="109" spans="1:15" ht="21" customHeight="1" x14ac:dyDescent="0.2">
      <c r="A109" s="211"/>
      <c r="B109" s="417">
        <f t="shared" ref="B109:G109" si="47">B70</f>
        <v>2019</v>
      </c>
      <c r="C109" s="417">
        <f t="shared" si="47"/>
        <v>2020</v>
      </c>
      <c r="D109" s="417">
        <f t="shared" si="47"/>
        <v>2021</v>
      </c>
      <c r="E109" s="251">
        <f t="shared" si="47"/>
        <v>2022</v>
      </c>
      <c r="F109" s="251">
        <f t="shared" si="47"/>
        <v>2023</v>
      </c>
      <c r="G109" s="251">
        <f t="shared" si="47"/>
        <v>2024</v>
      </c>
      <c r="H109" s="212"/>
      <c r="I109" s="414"/>
      <c r="J109" s="417">
        <f t="shared" ref="J109:O109" si="48">J70</f>
        <v>2019</v>
      </c>
      <c r="K109" s="417">
        <f t="shared" si="48"/>
        <v>2020</v>
      </c>
      <c r="L109" s="417">
        <f t="shared" si="48"/>
        <v>2021</v>
      </c>
      <c r="M109" s="251">
        <f t="shared" si="48"/>
        <v>2022</v>
      </c>
      <c r="N109" s="251">
        <f t="shared" si="48"/>
        <v>2023</v>
      </c>
      <c r="O109" s="251">
        <f t="shared" si="48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>
        <v>7270</v>
      </c>
      <c r="F111" s="37">
        <v>7270</v>
      </c>
      <c r="G111" s="37">
        <v>7270</v>
      </c>
      <c r="H111" s="131"/>
      <c r="I111" s="963" t="str">
        <f>I72</f>
        <v>VLERËSIM I ARDHURAVE NGA TARIFAT</v>
      </c>
      <c r="J111" s="964"/>
      <c r="K111" s="964"/>
      <c r="L111" s="964"/>
      <c r="M111" s="964"/>
      <c r="N111" s="964"/>
      <c r="O111" s="965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9">A74</f>
        <v>SHPENZIME TË PRITSHME</v>
      </c>
      <c r="B113" s="970">
        <f t="shared" si="49"/>
        <v>0</v>
      </c>
      <c r="C113" s="970">
        <f t="shared" si="49"/>
        <v>0</v>
      </c>
      <c r="D113" s="970">
        <f t="shared" si="49"/>
        <v>0</v>
      </c>
      <c r="E113" s="970">
        <f t="shared" si="49"/>
        <v>0</v>
      </c>
      <c r="F113" s="970">
        <f t="shared" si="49"/>
        <v>0</v>
      </c>
      <c r="G113" s="971">
        <f t="shared" si="49"/>
        <v>0</v>
      </c>
      <c r="H113" s="10"/>
    </row>
    <row r="114" spans="1:15" ht="12.75" x14ac:dyDescent="0.2">
      <c r="A114" s="963" t="str">
        <f t="shared" si="49"/>
        <v>KOSTO DIREKTE PËR PROJEKTET DHE SHPENZIMET KAPITALE</v>
      </c>
      <c r="B114" s="964">
        <f t="shared" si="49"/>
        <v>0</v>
      </c>
      <c r="C114" s="964">
        <f t="shared" si="49"/>
        <v>0</v>
      </c>
      <c r="D114" s="964">
        <f t="shared" si="49"/>
        <v>0</v>
      </c>
      <c r="E114" s="964">
        <f t="shared" si="49"/>
        <v>0</v>
      </c>
      <c r="F114" s="964">
        <f t="shared" si="49"/>
        <v>0</v>
      </c>
      <c r="G114" s="965">
        <f t="shared" si="49"/>
        <v>0</v>
      </c>
      <c r="H114" s="31"/>
      <c r="I114" s="963" t="str">
        <f t="shared" ref="I114:I119" si="50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51">A76</f>
        <v>Pagat</v>
      </c>
      <c r="B115" s="966">
        <f t="shared" si="51"/>
        <v>600</v>
      </c>
      <c r="C115" s="967">
        <f t="shared" si="51"/>
        <v>0</v>
      </c>
      <c r="D115" s="968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66">
        <f t="shared" si="51"/>
        <v>601</v>
      </c>
      <c r="C116" s="967">
        <f t="shared" si="51"/>
        <v>0</v>
      </c>
      <c r="D116" s="968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66">
        <f t="shared" si="51"/>
        <v>602</v>
      </c>
      <c r="C117" s="967">
        <f t="shared" si="51"/>
        <v>0</v>
      </c>
      <c r="D117" s="968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66">
        <f t="shared" si="51"/>
        <v>603</v>
      </c>
      <c r="C118" s="967">
        <f t="shared" si="51"/>
        <v>0</v>
      </c>
      <c r="D118" s="968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66">
        <f t="shared" si="51"/>
        <v>604</v>
      </c>
      <c r="C119" s="967">
        <f t="shared" si="51"/>
        <v>0</v>
      </c>
      <c r="D119" s="968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66">
        <f t="shared" si="51"/>
        <v>605</v>
      </c>
      <c r="C120" s="967">
        <f t="shared" si="51"/>
        <v>0</v>
      </c>
      <c r="D120" s="968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66">
        <f t="shared" si="51"/>
        <v>606</v>
      </c>
      <c r="C121" s="967">
        <f t="shared" si="51"/>
        <v>0</v>
      </c>
      <c r="D121" s="968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66" t="str">
        <f t="shared" si="51"/>
        <v>230 / 231</v>
      </c>
      <c r="C122" s="967">
        <f t="shared" si="51"/>
        <v>0</v>
      </c>
      <c r="D122" s="968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66">
        <f t="shared" si="51"/>
        <v>609</v>
      </c>
      <c r="C123" s="967">
        <f t="shared" si="51"/>
        <v>0</v>
      </c>
      <c r="D123" s="968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66">
        <f t="shared" si="51"/>
        <v>650</v>
      </c>
      <c r="C124" s="967">
        <f t="shared" si="51"/>
        <v>0</v>
      </c>
      <c r="D124" s="968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66" t="str">
        <f t="shared" si="51"/>
        <v>69 / ?</v>
      </c>
      <c r="C125" s="967">
        <f t="shared" si="51"/>
        <v>0</v>
      </c>
      <c r="D125" s="968">
        <f t="shared" si="51"/>
        <v>0</v>
      </c>
      <c r="E125" s="129"/>
      <c r="F125" s="129"/>
      <c r="G125" s="129"/>
      <c r="H125" s="53"/>
      <c r="I125" s="972" t="str">
        <f t="shared" ref="I125:O126" si="54">I86</f>
        <v>SHUMA E KËRKUAR NETO</v>
      </c>
      <c r="J125" s="973">
        <f t="shared" si="54"/>
        <v>0</v>
      </c>
      <c r="K125" s="973">
        <f t="shared" si="54"/>
        <v>0</v>
      </c>
      <c r="L125" s="973">
        <f t="shared" si="54"/>
        <v>0</v>
      </c>
      <c r="M125" s="973">
        <f t="shared" si="54"/>
        <v>0</v>
      </c>
      <c r="N125" s="973">
        <f t="shared" si="54"/>
        <v>0</v>
      </c>
      <c r="O125" s="974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66">
        <f t="shared" si="51"/>
        <v>0</v>
      </c>
      <c r="C126" s="967">
        <f t="shared" si="51"/>
        <v>0</v>
      </c>
      <c r="D126" s="968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75">
        <f t="shared" si="54"/>
        <v>0</v>
      </c>
      <c r="J126" s="976">
        <f t="shared" si="54"/>
        <v>0</v>
      </c>
      <c r="K126" s="976">
        <f t="shared" si="54"/>
        <v>0</v>
      </c>
      <c r="L126" s="976">
        <f t="shared" si="54"/>
        <v>0</v>
      </c>
      <c r="M126" s="976">
        <f t="shared" si="54"/>
        <v>0</v>
      </c>
      <c r="N126" s="976">
        <f t="shared" si="54"/>
        <v>0</v>
      </c>
      <c r="O126" s="977">
        <f t="shared" si="54"/>
        <v>0</v>
      </c>
    </row>
    <row r="127" spans="1:15" ht="12.75" x14ac:dyDescent="0.2">
      <c r="A127" s="963" t="str">
        <f t="shared" si="51"/>
        <v>SHPENZIME KORRENTE</v>
      </c>
      <c r="B127" s="964">
        <f t="shared" si="51"/>
        <v>0</v>
      </c>
      <c r="C127" s="964">
        <f t="shared" si="51"/>
        <v>0</v>
      </c>
      <c r="D127" s="964">
        <f t="shared" si="51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7270</v>
      </c>
      <c r="N127" s="18">
        <f t="shared" si="57"/>
        <v>7270</v>
      </c>
      <c r="O127" s="18">
        <f t="shared" si="57"/>
        <v>7270</v>
      </c>
    </row>
    <row r="128" spans="1:15" ht="12.75" x14ac:dyDescent="0.2">
      <c r="A128" s="124" t="str">
        <f t="shared" si="51"/>
        <v>Pagat</v>
      </c>
      <c r="B128" s="966">
        <f t="shared" si="51"/>
        <v>600</v>
      </c>
      <c r="C128" s="967">
        <f t="shared" si="51"/>
        <v>0</v>
      </c>
      <c r="D128" s="968">
        <f t="shared" si="51"/>
        <v>0</v>
      </c>
      <c r="E128" s="37">
        <v>6186</v>
      </c>
      <c r="F128" s="37">
        <v>6186</v>
      </c>
      <c r="G128" s="37">
        <v>6186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66">
        <f t="shared" si="51"/>
        <v>601</v>
      </c>
      <c r="C129" s="967">
        <f t="shared" si="51"/>
        <v>0</v>
      </c>
      <c r="D129" s="968">
        <f t="shared" si="51"/>
        <v>0</v>
      </c>
      <c r="E129" s="37">
        <v>1034</v>
      </c>
      <c r="F129" s="37">
        <v>1034</v>
      </c>
      <c r="G129" s="37">
        <v>1034</v>
      </c>
      <c r="H129" s="53"/>
    </row>
    <row r="130" spans="1:15" ht="12.75" x14ac:dyDescent="0.2">
      <c r="A130" s="124" t="str">
        <f t="shared" si="51"/>
        <v>Mallra dhe shërbime</v>
      </c>
      <c r="B130" s="966">
        <f t="shared" si="51"/>
        <v>602</v>
      </c>
      <c r="C130" s="967">
        <f t="shared" si="51"/>
        <v>0</v>
      </c>
      <c r="D130" s="968">
        <f t="shared" si="51"/>
        <v>0</v>
      </c>
      <c r="E130" s="37">
        <v>50</v>
      </c>
      <c r="F130" s="37">
        <v>50</v>
      </c>
      <c r="G130" s="37">
        <v>50</v>
      </c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66">
        <f t="shared" si="51"/>
        <v>603</v>
      </c>
      <c r="C131" s="967">
        <f t="shared" si="51"/>
        <v>0</v>
      </c>
      <c r="D131" s="968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66">
        <f t="shared" si="51"/>
        <v>604</v>
      </c>
      <c r="C132" s="967">
        <f t="shared" si="51"/>
        <v>0</v>
      </c>
      <c r="D132" s="968">
        <f t="shared" si="51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66">
        <f t="shared" si="51"/>
        <v>605</v>
      </c>
      <c r="C133" s="967">
        <f t="shared" si="51"/>
        <v>0</v>
      </c>
      <c r="D133" s="968">
        <f t="shared" si="51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66">
        <f t="shared" si="51"/>
        <v>606</v>
      </c>
      <c r="C134" s="967">
        <f t="shared" si="51"/>
        <v>0</v>
      </c>
      <c r="D134" s="968">
        <f t="shared" si="51"/>
        <v>0</v>
      </c>
      <c r="E134" s="37"/>
      <c r="F134" s="37"/>
      <c r="G134" s="37"/>
      <c r="H134" s="53"/>
      <c r="I134" s="315"/>
      <c r="J134" s="1023"/>
      <c r="K134" s="1023"/>
      <c r="L134" s="1023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49" t="str">
        <f t="shared" si="51"/>
        <v>Shpenzimet kapitale</v>
      </c>
      <c r="B135" s="993" t="str">
        <f t="shared" si="51"/>
        <v>230 / 231</v>
      </c>
      <c r="C135" s="994">
        <f t="shared" si="51"/>
        <v>0</v>
      </c>
      <c r="D135" s="995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66">
        <f t="shared" si="51"/>
        <v>609</v>
      </c>
      <c r="C136" s="967">
        <f t="shared" si="51"/>
        <v>0</v>
      </c>
      <c r="D136" s="968">
        <f t="shared" si="51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51"/>
        <v>Interesa per kredi direkte ose bono</v>
      </c>
      <c r="B137" s="996">
        <f t="shared" si="51"/>
        <v>650</v>
      </c>
      <c r="C137" s="997">
        <f t="shared" si="51"/>
        <v>0</v>
      </c>
      <c r="D137" s="998">
        <f t="shared" si="51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7270</v>
      </c>
      <c r="F139" s="129">
        <f t="shared" ref="F139" si="60">SUM(F128:F138)</f>
        <v>7270</v>
      </c>
      <c r="G139" s="129">
        <f t="shared" ref="G139" si="61">SUM(G128:G138)</f>
        <v>7270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7270</v>
      </c>
      <c r="F141" s="129">
        <f>F126+F139</f>
        <v>7270</v>
      </c>
      <c r="G141" s="129">
        <f t="shared" ref="G141" si="63">G126+G139</f>
        <v>7270</v>
      </c>
      <c r="H141" s="53"/>
      <c r="I141" s="420"/>
      <c r="J141" s="1014"/>
      <c r="K141" s="1015"/>
      <c r="L141" s="1015"/>
      <c r="M141" s="1015"/>
      <c r="N141" s="1015"/>
      <c r="O141" s="1016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62" t="str">
        <f t="shared" si="64"/>
        <v>011 Organet ekzekutive dhe legjislative, për çështjet financiare dhe fiskale, çështjet e brendshme</v>
      </c>
      <c r="C144" s="962">
        <f t="shared" si="64"/>
        <v>0</v>
      </c>
      <c r="D144" s="962">
        <f t="shared" si="64"/>
        <v>0</v>
      </c>
      <c r="E144" s="962">
        <f t="shared" si="64"/>
        <v>0</v>
      </c>
      <c r="F144" s="962">
        <f t="shared" si="64"/>
        <v>0</v>
      </c>
      <c r="G144" s="962">
        <f t="shared" si="64"/>
        <v>0</v>
      </c>
      <c r="H144" s="962">
        <f t="shared" si="64"/>
        <v>0</v>
      </c>
      <c r="I144" s="962">
        <f t="shared" si="64"/>
        <v>0</v>
      </c>
      <c r="J144" s="962">
        <f t="shared" si="64"/>
        <v>0</v>
      </c>
      <c r="K144" s="962">
        <f t="shared" si="64"/>
        <v>0</v>
      </c>
      <c r="L144" s="962">
        <f t="shared" si="64"/>
        <v>0</v>
      </c>
      <c r="M144" s="962">
        <f t="shared" si="64"/>
        <v>0</v>
      </c>
      <c r="N144" s="962">
        <f t="shared" si="64"/>
        <v>0</v>
      </c>
      <c r="O144" s="962">
        <f t="shared" si="64"/>
        <v>0</v>
      </c>
    </row>
    <row r="145" spans="1:15" ht="17.25" hidden="1" customHeight="1" x14ac:dyDescent="0.2">
      <c r="A145" s="276" t="str">
        <f>A8</f>
        <v>Programi 1c</v>
      </c>
      <c r="B145" s="962" t="str">
        <f>C8</f>
        <v>Sherbime të pergjithshme publike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8" t="str">
        <f t="shared" ref="A147:G147" si="65">A69</f>
        <v>SHPENZIME TË PRITSHME</v>
      </c>
      <c r="B147" s="959">
        <f t="shared" si="65"/>
        <v>0</v>
      </c>
      <c r="C147" s="959">
        <f t="shared" si="65"/>
        <v>0</v>
      </c>
      <c r="D147" s="959">
        <f t="shared" si="65"/>
        <v>0</v>
      </c>
      <c r="E147" s="959">
        <f t="shared" si="65"/>
        <v>0</v>
      </c>
      <c r="F147" s="959">
        <f t="shared" si="65"/>
        <v>0</v>
      </c>
      <c r="G147" s="979">
        <f t="shared" si="65"/>
        <v>0</v>
      </c>
      <c r="H147" s="131"/>
      <c r="I147" s="980" t="str">
        <f t="shared" ref="I147:O147" si="66">I69</f>
        <v xml:space="preserve">TË ARDHURAT E PRITSHME </v>
      </c>
      <c r="J147" s="959">
        <f t="shared" si="66"/>
        <v>0</v>
      </c>
      <c r="K147" s="959">
        <f t="shared" si="66"/>
        <v>0</v>
      </c>
      <c r="L147" s="959">
        <f t="shared" si="66"/>
        <v>0</v>
      </c>
      <c r="M147" s="959">
        <f t="shared" si="66"/>
        <v>0</v>
      </c>
      <c r="N147" s="959">
        <f t="shared" si="66"/>
        <v>0</v>
      </c>
      <c r="O147" s="979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2019</v>
      </c>
      <c r="C148" s="417">
        <f t="shared" si="67"/>
        <v>2020</v>
      </c>
      <c r="D148" s="417">
        <f t="shared" si="67"/>
        <v>2021</v>
      </c>
      <c r="E148" s="251">
        <f t="shared" si="67"/>
        <v>2022</v>
      </c>
      <c r="F148" s="251">
        <f t="shared" si="67"/>
        <v>2023</v>
      </c>
      <c r="G148" s="251">
        <f t="shared" si="67"/>
        <v>2024</v>
      </c>
      <c r="H148" s="212"/>
      <c r="I148" s="307"/>
      <c r="J148" s="249">
        <f t="shared" ref="J148:O148" si="68">J70</f>
        <v>2019</v>
      </c>
      <c r="K148" s="249">
        <f t="shared" si="68"/>
        <v>2020</v>
      </c>
      <c r="L148" s="249">
        <f t="shared" si="68"/>
        <v>2021</v>
      </c>
      <c r="M148" s="250">
        <f t="shared" si="68"/>
        <v>2022</v>
      </c>
      <c r="N148" s="250">
        <f t="shared" si="68"/>
        <v>2023</v>
      </c>
      <c r="O148" s="250">
        <f t="shared" si="68"/>
        <v>2024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63" t="str">
        <f t="shared" ref="I150:O150" si="69">I72</f>
        <v>VLERËSIM I ARDHURAVE NGA TARIFAT</v>
      </c>
      <c r="J150" s="964">
        <f t="shared" si="69"/>
        <v>0</v>
      </c>
      <c r="K150" s="964">
        <f t="shared" si="69"/>
        <v>0</v>
      </c>
      <c r="L150" s="964">
        <f t="shared" si="69"/>
        <v>0</v>
      </c>
      <c r="M150" s="964">
        <f t="shared" si="69"/>
        <v>0</v>
      </c>
      <c r="N150" s="964">
        <f t="shared" si="69"/>
        <v>0</v>
      </c>
      <c r="O150" s="965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69" t="str">
        <f t="shared" ref="A152:G153" si="70">A74</f>
        <v>SHPENZIME TË PRITSHME</v>
      </c>
      <c r="B152" s="970">
        <f t="shared" si="70"/>
        <v>0</v>
      </c>
      <c r="C152" s="970">
        <f t="shared" si="70"/>
        <v>0</v>
      </c>
      <c r="D152" s="970">
        <f t="shared" si="70"/>
        <v>0</v>
      </c>
      <c r="E152" s="970">
        <f t="shared" si="70"/>
        <v>0</v>
      </c>
      <c r="F152" s="970">
        <f t="shared" si="70"/>
        <v>0</v>
      </c>
      <c r="G152" s="971">
        <f t="shared" si="70"/>
        <v>0</v>
      </c>
      <c r="H152" s="10"/>
    </row>
    <row r="153" spans="1:15" ht="12.75" hidden="1" customHeight="1" x14ac:dyDescent="0.2">
      <c r="A153" s="963" t="str">
        <f t="shared" si="70"/>
        <v>KOSTO DIREKTE PËR PROJEKTET DHE SHPENZIMET KAPITALE</v>
      </c>
      <c r="B153" s="964">
        <f t="shared" si="70"/>
        <v>0</v>
      </c>
      <c r="C153" s="964">
        <f t="shared" si="70"/>
        <v>0</v>
      </c>
      <c r="D153" s="964">
        <f t="shared" si="70"/>
        <v>0</v>
      </c>
      <c r="E153" s="964">
        <f t="shared" si="70"/>
        <v>0</v>
      </c>
      <c r="F153" s="964">
        <f t="shared" si="70"/>
        <v>0</v>
      </c>
      <c r="G153" s="965">
        <f t="shared" si="70"/>
        <v>0</v>
      </c>
      <c r="H153" s="31"/>
      <c r="I153" s="963" t="str">
        <f t="shared" ref="I153:I158" si="71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hidden="1" customHeight="1" x14ac:dyDescent="0.2">
      <c r="A154" s="124" t="str">
        <f t="shared" ref="A154:D176" si="72">A76</f>
        <v>Pagat</v>
      </c>
      <c r="B154" s="966">
        <f t="shared" si="72"/>
        <v>600</v>
      </c>
      <c r="C154" s="967">
        <f t="shared" si="72"/>
        <v>0</v>
      </c>
      <c r="D154" s="968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66">
        <f t="shared" si="72"/>
        <v>601</v>
      </c>
      <c r="C155" s="967">
        <f t="shared" si="72"/>
        <v>0</v>
      </c>
      <c r="D155" s="968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66">
        <f t="shared" si="72"/>
        <v>602</v>
      </c>
      <c r="C156" s="967">
        <f t="shared" si="72"/>
        <v>0</v>
      </c>
      <c r="D156" s="968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66">
        <f t="shared" si="72"/>
        <v>603</v>
      </c>
      <c r="C157" s="967">
        <f t="shared" si="72"/>
        <v>0</v>
      </c>
      <c r="D157" s="968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66">
        <f t="shared" si="72"/>
        <v>604</v>
      </c>
      <c r="C158" s="967">
        <f t="shared" si="72"/>
        <v>0</v>
      </c>
      <c r="D158" s="968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66">
        <f t="shared" si="72"/>
        <v>605</v>
      </c>
      <c r="C159" s="967">
        <f t="shared" si="72"/>
        <v>0</v>
      </c>
      <c r="D159" s="968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66">
        <f t="shared" si="72"/>
        <v>606</v>
      </c>
      <c r="C160" s="967">
        <f t="shared" si="72"/>
        <v>0</v>
      </c>
      <c r="D160" s="968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66" t="str">
        <f t="shared" si="72"/>
        <v>230 / 231</v>
      </c>
      <c r="C161" s="967">
        <f t="shared" si="72"/>
        <v>0</v>
      </c>
      <c r="D161" s="968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66">
        <f t="shared" si="72"/>
        <v>609</v>
      </c>
      <c r="C162" s="967">
        <f t="shared" si="72"/>
        <v>0</v>
      </c>
      <c r="D162" s="968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66">
        <f t="shared" si="72"/>
        <v>650</v>
      </c>
      <c r="C163" s="967">
        <f t="shared" si="72"/>
        <v>0</v>
      </c>
      <c r="D163" s="968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66" t="str">
        <f t="shared" si="72"/>
        <v>69 / ?</v>
      </c>
      <c r="C164" s="967">
        <f t="shared" si="72"/>
        <v>0</v>
      </c>
      <c r="D164" s="968">
        <f t="shared" si="72"/>
        <v>0</v>
      </c>
      <c r="E164" s="37"/>
      <c r="F164" s="37"/>
      <c r="G164" s="37"/>
      <c r="H164" s="53"/>
      <c r="I164" s="972" t="str">
        <f t="shared" ref="I164:O165" si="75">I86</f>
        <v>SHUMA E KËRKUAR NETO</v>
      </c>
      <c r="J164" s="973">
        <f t="shared" si="75"/>
        <v>0</v>
      </c>
      <c r="K164" s="973">
        <f t="shared" si="75"/>
        <v>0</v>
      </c>
      <c r="L164" s="973">
        <f t="shared" si="75"/>
        <v>0</v>
      </c>
      <c r="M164" s="973">
        <f t="shared" si="75"/>
        <v>0</v>
      </c>
      <c r="N164" s="973">
        <f t="shared" si="75"/>
        <v>0</v>
      </c>
      <c r="O164" s="974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66">
        <f t="shared" si="72"/>
        <v>0</v>
      </c>
      <c r="C165" s="967">
        <f t="shared" si="72"/>
        <v>0</v>
      </c>
      <c r="D165" s="968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75">
        <f t="shared" si="75"/>
        <v>0</v>
      </c>
      <c r="J165" s="976">
        <f t="shared" si="75"/>
        <v>0</v>
      </c>
      <c r="K165" s="976">
        <f t="shared" si="75"/>
        <v>0</v>
      </c>
      <c r="L165" s="976">
        <f t="shared" si="75"/>
        <v>0</v>
      </c>
      <c r="M165" s="976">
        <f t="shared" si="75"/>
        <v>0</v>
      </c>
      <c r="N165" s="976">
        <f t="shared" si="75"/>
        <v>0</v>
      </c>
      <c r="O165" s="977">
        <f t="shared" si="75"/>
        <v>0</v>
      </c>
    </row>
    <row r="166" spans="1:15" ht="12.75" hidden="1" customHeight="1" x14ac:dyDescent="0.2">
      <c r="A166" s="963" t="str">
        <f t="shared" si="72"/>
        <v>SHPENZIME KORRENTE</v>
      </c>
      <c r="B166" s="964">
        <f t="shared" si="72"/>
        <v>0</v>
      </c>
      <c r="C166" s="964">
        <f t="shared" si="72"/>
        <v>0</v>
      </c>
      <c r="D166" s="964">
        <f t="shared" si="72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66">
        <f t="shared" si="72"/>
        <v>600</v>
      </c>
      <c r="C167" s="967">
        <f t="shared" si="72"/>
        <v>0</v>
      </c>
      <c r="D167" s="968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66">
        <f t="shared" si="72"/>
        <v>601</v>
      </c>
      <c r="C168" s="967">
        <f t="shared" si="72"/>
        <v>0</v>
      </c>
      <c r="D168" s="968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66">
        <f t="shared" si="72"/>
        <v>602</v>
      </c>
      <c r="C169" s="967">
        <f t="shared" si="72"/>
        <v>0</v>
      </c>
      <c r="D169" s="968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66">
        <f t="shared" si="72"/>
        <v>603</v>
      </c>
      <c r="C170" s="967">
        <f t="shared" si="72"/>
        <v>0</v>
      </c>
      <c r="D170" s="968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66">
        <f t="shared" si="72"/>
        <v>604</v>
      </c>
      <c r="C171" s="967">
        <f t="shared" si="72"/>
        <v>0</v>
      </c>
      <c r="D171" s="968">
        <f t="shared" si="72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66">
        <f t="shared" si="72"/>
        <v>605</v>
      </c>
      <c r="C172" s="967">
        <f t="shared" si="72"/>
        <v>0</v>
      </c>
      <c r="D172" s="968">
        <f t="shared" si="72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66">
        <f t="shared" si="72"/>
        <v>606</v>
      </c>
      <c r="C173" s="967">
        <f t="shared" si="72"/>
        <v>0</v>
      </c>
      <c r="D173" s="968">
        <f t="shared" si="72"/>
        <v>0</v>
      </c>
      <c r="E173" s="37"/>
      <c r="F173" s="37"/>
      <c r="G173" s="37"/>
      <c r="H173" s="53"/>
      <c r="I173" s="315"/>
      <c r="J173" s="1023"/>
      <c r="K173" s="1023"/>
      <c r="L173" s="1023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9" t="str">
        <f t="shared" si="72"/>
        <v>Shpenzimet kapitale</v>
      </c>
      <c r="B174" s="993" t="str">
        <f t="shared" si="72"/>
        <v>230 / 231</v>
      </c>
      <c r="C174" s="994">
        <f t="shared" si="72"/>
        <v>0</v>
      </c>
      <c r="D174" s="995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66">
        <f t="shared" si="72"/>
        <v>609</v>
      </c>
      <c r="C175" s="967">
        <f t="shared" si="72"/>
        <v>0</v>
      </c>
      <c r="D175" s="968">
        <f t="shared" si="72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hidden="1" customHeight="1" x14ac:dyDescent="0.2">
      <c r="A176" s="124" t="str">
        <f t="shared" si="72"/>
        <v>Interesa per kredi direkte ose bono</v>
      </c>
      <c r="B176" s="996">
        <f t="shared" si="72"/>
        <v>650</v>
      </c>
      <c r="C176" s="997">
        <f t="shared" si="72"/>
        <v>0</v>
      </c>
      <c r="D176" s="998">
        <f t="shared" si="72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hidden="1" customHeight="1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hidden="1" customHeight="1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62" t="str">
        <f t="shared" si="85"/>
        <v>011 Organet ekzekutive dhe legjislative, për çështjet financiare dhe fiskale, çështjet e brendshme</v>
      </c>
      <c r="C183" s="962">
        <f t="shared" si="85"/>
        <v>0</v>
      </c>
      <c r="D183" s="962">
        <f t="shared" si="85"/>
        <v>0</v>
      </c>
      <c r="E183" s="962">
        <f t="shared" si="85"/>
        <v>0</v>
      </c>
      <c r="F183" s="962">
        <f t="shared" si="85"/>
        <v>0</v>
      </c>
      <c r="G183" s="962">
        <f t="shared" si="85"/>
        <v>0</v>
      </c>
      <c r="H183" s="962">
        <f t="shared" si="85"/>
        <v>0</v>
      </c>
      <c r="I183" s="962">
        <f t="shared" si="85"/>
        <v>0</v>
      </c>
      <c r="J183" s="962">
        <f t="shared" si="85"/>
        <v>0</v>
      </c>
      <c r="K183" s="962">
        <f t="shared" si="85"/>
        <v>0</v>
      </c>
      <c r="L183" s="962">
        <f t="shared" si="85"/>
        <v>0</v>
      </c>
      <c r="M183" s="962">
        <f t="shared" si="85"/>
        <v>0</v>
      </c>
      <c r="N183" s="962">
        <f t="shared" si="85"/>
        <v>0</v>
      </c>
      <c r="O183" s="962">
        <f t="shared" si="85"/>
        <v>0</v>
      </c>
    </row>
    <row r="184" spans="1:15" ht="18.75" x14ac:dyDescent="0.2">
      <c r="A184" s="276" t="str">
        <f>A9</f>
        <v>Programi 1d</v>
      </c>
      <c r="B184" s="962" t="str">
        <f>C9</f>
        <v>Gjendja civile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276" t="str">
        <f>'(B3) Struktura Funksionale'!B11</f>
        <v>01170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8" t="str">
        <f t="shared" ref="A186:G186" si="86">A69</f>
        <v>SHPENZIME TË PRITSHME</v>
      </c>
      <c r="B186" s="959">
        <f t="shared" si="86"/>
        <v>0</v>
      </c>
      <c r="C186" s="959">
        <f t="shared" si="86"/>
        <v>0</v>
      </c>
      <c r="D186" s="959">
        <f t="shared" si="86"/>
        <v>0</v>
      </c>
      <c r="E186" s="959">
        <f t="shared" si="86"/>
        <v>0</v>
      </c>
      <c r="F186" s="959">
        <f t="shared" si="86"/>
        <v>0</v>
      </c>
      <c r="G186" s="979">
        <f t="shared" si="86"/>
        <v>0</v>
      </c>
      <c r="H186" s="131"/>
      <c r="I186" s="992" t="str">
        <f t="shared" ref="I186:O186" si="87">I69</f>
        <v xml:space="preserve">TË ARDHURAT E PRITSHME </v>
      </c>
      <c r="J186" s="990">
        <f t="shared" si="87"/>
        <v>0</v>
      </c>
      <c r="K186" s="990">
        <f t="shared" si="87"/>
        <v>0</v>
      </c>
      <c r="L186" s="990">
        <f t="shared" si="87"/>
        <v>0</v>
      </c>
      <c r="M186" s="990">
        <f t="shared" si="87"/>
        <v>0</v>
      </c>
      <c r="N186" s="990">
        <f t="shared" si="87"/>
        <v>0</v>
      </c>
      <c r="O186" s="991">
        <f t="shared" si="87"/>
        <v>0</v>
      </c>
    </row>
    <row r="187" spans="1:15" ht="21.75" customHeight="1" x14ac:dyDescent="0.2">
      <c r="A187" s="211"/>
      <c r="B187" s="417">
        <f t="shared" ref="B187:G187" si="88">B70</f>
        <v>2019</v>
      </c>
      <c r="C187" s="417">
        <f t="shared" si="88"/>
        <v>2020</v>
      </c>
      <c r="D187" s="417">
        <f t="shared" si="88"/>
        <v>2021</v>
      </c>
      <c r="E187" s="251">
        <f t="shared" si="88"/>
        <v>2022</v>
      </c>
      <c r="F187" s="251">
        <f t="shared" si="88"/>
        <v>2023</v>
      </c>
      <c r="G187" s="251">
        <f t="shared" si="88"/>
        <v>2024</v>
      </c>
      <c r="H187" s="212"/>
      <c r="I187" s="414"/>
      <c r="J187" s="417">
        <f t="shared" ref="J187:O187" si="89">J70</f>
        <v>2019</v>
      </c>
      <c r="K187" s="417">
        <f t="shared" si="89"/>
        <v>2020</v>
      </c>
      <c r="L187" s="417">
        <f t="shared" si="89"/>
        <v>2021</v>
      </c>
      <c r="M187" s="251">
        <f t="shared" si="89"/>
        <v>2022</v>
      </c>
      <c r="N187" s="251">
        <f t="shared" si="89"/>
        <v>2023</v>
      </c>
      <c r="O187" s="251">
        <f t="shared" si="89"/>
        <v>2024</v>
      </c>
    </row>
    <row r="188" spans="1:15" ht="12.75" x14ac:dyDescent="0.2">
      <c r="A188" s="431"/>
      <c r="B188" s="424"/>
      <c r="C188" s="347"/>
      <c r="D188" s="348"/>
      <c r="E188" s="682"/>
      <c r="F188" s="682"/>
      <c r="G188" s="68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10031</v>
      </c>
      <c r="C189" s="34">
        <f>VLOOKUP(A184,'(C1) Shpenzimet vitet e kaluara'!A$9:O$177,9,FALSE)</f>
        <v>10031</v>
      </c>
      <c r="D189" s="34">
        <f>VLOOKUP(A184,'(C1) Shpenzimet vitet e kaluara'!A$9:O$177,13,FALSE)</f>
        <v>10031</v>
      </c>
      <c r="E189" s="37">
        <v>10000</v>
      </c>
      <c r="F189" s="37">
        <v>10000</v>
      </c>
      <c r="G189" s="37">
        <v>10000</v>
      </c>
      <c r="H189" s="131"/>
      <c r="I189" s="963" t="str">
        <f t="shared" ref="I189:O189" si="90">I72</f>
        <v>VLERËSIM I ARDHURAVE NGA TARIFAT</v>
      </c>
      <c r="J189" s="964">
        <f t="shared" si="90"/>
        <v>0</v>
      </c>
      <c r="K189" s="964">
        <f t="shared" si="90"/>
        <v>0</v>
      </c>
      <c r="L189" s="964">
        <f t="shared" si="90"/>
        <v>0</v>
      </c>
      <c r="M189" s="964">
        <f t="shared" si="90"/>
        <v>0</v>
      </c>
      <c r="N189" s="964">
        <f t="shared" si="90"/>
        <v>0</v>
      </c>
      <c r="O189" s="965">
        <f t="shared" si="90"/>
        <v>0</v>
      </c>
    </row>
    <row r="190" spans="1:15" ht="12.75" x14ac:dyDescent="0.2">
      <c r="A190" s="125"/>
      <c r="B190" s="210"/>
      <c r="C190" s="126"/>
      <c r="D190" s="126"/>
      <c r="E190" s="681"/>
      <c r="F190" s="681"/>
      <c r="G190" s="684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30" t="str">
        <f t="shared" ref="A191:G192" si="91">A74</f>
        <v>SHPENZIME TË PRITSHME</v>
      </c>
      <c r="B191" s="1031">
        <f t="shared" si="91"/>
        <v>0</v>
      </c>
      <c r="C191" s="1031">
        <f t="shared" si="91"/>
        <v>0</v>
      </c>
      <c r="D191" s="1031">
        <f t="shared" si="91"/>
        <v>0</v>
      </c>
      <c r="E191" s="1031">
        <f t="shared" si="91"/>
        <v>0</v>
      </c>
      <c r="F191" s="1031">
        <f t="shared" si="91"/>
        <v>0</v>
      </c>
      <c r="G191" s="1032">
        <f t="shared" si="91"/>
        <v>0</v>
      </c>
      <c r="H191" s="10"/>
    </row>
    <row r="192" spans="1:15" ht="12.75" x14ac:dyDescent="0.2">
      <c r="A192" s="963" t="str">
        <f t="shared" si="91"/>
        <v>KOSTO DIREKTE PËR PROJEKTET DHE SHPENZIMET KAPITALE</v>
      </c>
      <c r="B192" s="964">
        <f t="shared" si="91"/>
        <v>0</v>
      </c>
      <c r="C192" s="964">
        <f t="shared" si="91"/>
        <v>0</v>
      </c>
      <c r="D192" s="964">
        <f t="shared" si="91"/>
        <v>0</v>
      </c>
      <c r="E192" s="964">
        <f t="shared" si="91"/>
        <v>0</v>
      </c>
      <c r="F192" s="964">
        <f t="shared" si="91"/>
        <v>0</v>
      </c>
      <c r="G192" s="965">
        <f t="shared" si="91"/>
        <v>0</v>
      </c>
      <c r="H192" s="31"/>
      <c r="I192" s="963" t="str">
        <f t="shared" ref="I192:I197" si="92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93">A76</f>
        <v>Pagat</v>
      </c>
      <c r="B193" s="966">
        <f t="shared" si="93"/>
        <v>600</v>
      </c>
      <c r="C193" s="967">
        <f t="shared" si="93"/>
        <v>0</v>
      </c>
      <c r="D193" s="968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/>
      <c r="N193" s="37"/>
      <c r="O193" s="37"/>
    </row>
    <row r="194" spans="1:15" ht="12.75" x14ac:dyDescent="0.2">
      <c r="A194" s="124" t="str">
        <f t="shared" si="93"/>
        <v>Sigurimet Shoqërore</v>
      </c>
      <c r="B194" s="966">
        <f t="shared" si="93"/>
        <v>601</v>
      </c>
      <c r="C194" s="967">
        <f t="shared" si="93"/>
        <v>0</v>
      </c>
      <c r="D194" s="968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66">
        <f t="shared" si="93"/>
        <v>602</v>
      </c>
      <c r="C195" s="967">
        <f t="shared" si="93"/>
        <v>0</v>
      </c>
      <c r="D195" s="968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66">
        <f t="shared" si="93"/>
        <v>603</v>
      </c>
      <c r="C196" s="967">
        <f t="shared" si="93"/>
        <v>0</v>
      </c>
      <c r="D196" s="968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66">
        <f t="shared" si="93"/>
        <v>604</v>
      </c>
      <c r="C197" s="967">
        <f t="shared" si="93"/>
        <v>0</v>
      </c>
      <c r="D197" s="968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>SUM(N193:N196)</f>
        <v>0</v>
      </c>
      <c r="O197" s="129">
        <f>SUM(O193:O196)</f>
        <v>0</v>
      </c>
    </row>
    <row r="198" spans="1:15" ht="12.75" x14ac:dyDescent="0.2">
      <c r="A198" s="124" t="str">
        <f t="shared" si="93"/>
        <v>Transferta korrente të huaja</v>
      </c>
      <c r="B198" s="966">
        <f t="shared" si="93"/>
        <v>605</v>
      </c>
      <c r="C198" s="967">
        <f t="shared" si="93"/>
        <v>0</v>
      </c>
      <c r="D198" s="968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66">
        <f t="shared" si="93"/>
        <v>606</v>
      </c>
      <c r="C199" s="967">
        <f t="shared" si="93"/>
        <v>0</v>
      </c>
      <c r="D199" s="968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93"/>
        <v>Shpenzimet kapitale</v>
      </c>
      <c r="B200" s="966" t="str">
        <f t="shared" si="93"/>
        <v>230 / 231</v>
      </c>
      <c r="C200" s="967">
        <f t="shared" si="93"/>
        <v>0</v>
      </c>
      <c r="D200" s="968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66">
        <f t="shared" si="93"/>
        <v>609</v>
      </c>
      <c r="C201" s="967">
        <f t="shared" si="93"/>
        <v>0</v>
      </c>
      <c r="D201" s="968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66">
        <f t="shared" si="93"/>
        <v>650</v>
      </c>
      <c r="C202" s="967">
        <f t="shared" si="93"/>
        <v>0</v>
      </c>
      <c r="D202" s="968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66" t="str">
        <f t="shared" si="93"/>
        <v>69 / ?</v>
      </c>
      <c r="C203" s="967">
        <f t="shared" si="93"/>
        <v>0</v>
      </c>
      <c r="D203" s="968">
        <f t="shared" si="93"/>
        <v>0</v>
      </c>
      <c r="E203" s="129"/>
      <c r="F203" s="129"/>
      <c r="G203" s="129"/>
      <c r="H203" s="53"/>
      <c r="I203" s="972" t="str">
        <f t="shared" ref="I203:O204" si="94">I86</f>
        <v>SHUMA E KËRKUAR NETO</v>
      </c>
      <c r="J203" s="973">
        <f t="shared" si="94"/>
        <v>0</v>
      </c>
      <c r="K203" s="973">
        <f t="shared" si="94"/>
        <v>0</v>
      </c>
      <c r="L203" s="973">
        <f t="shared" si="94"/>
        <v>0</v>
      </c>
      <c r="M203" s="973">
        <f t="shared" si="94"/>
        <v>0</v>
      </c>
      <c r="N203" s="973">
        <f t="shared" si="94"/>
        <v>0</v>
      </c>
      <c r="O203" s="974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66">
        <f t="shared" si="93"/>
        <v>0</v>
      </c>
      <c r="C204" s="967">
        <f t="shared" si="93"/>
        <v>0</v>
      </c>
      <c r="D204" s="968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75">
        <f t="shared" si="94"/>
        <v>0</v>
      </c>
      <c r="J204" s="976">
        <f t="shared" si="94"/>
        <v>0</v>
      </c>
      <c r="K204" s="976">
        <f t="shared" si="94"/>
        <v>0</v>
      </c>
      <c r="L204" s="976">
        <f t="shared" si="94"/>
        <v>0</v>
      </c>
      <c r="M204" s="976">
        <f t="shared" si="94"/>
        <v>0</v>
      </c>
      <c r="N204" s="976">
        <f t="shared" si="94"/>
        <v>0</v>
      </c>
      <c r="O204" s="977">
        <f t="shared" si="94"/>
        <v>0</v>
      </c>
    </row>
    <row r="205" spans="1:15" ht="12.75" x14ac:dyDescent="0.2">
      <c r="A205" s="963" t="str">
        <f t="shared" si="93"/>
        <v>SHPENZIME KORRENTE</v>
      </c>
      <c r="B205" s="964">
        <f t="shared" si="93"/>
        <v>0</v>
      </c>
      <c r="C205" s="964">
        <f t="shared" si="93"/>
        <v>0</v>
      </c>
      <c r="D205" s="964">
        <f t="shared" si="93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97">B189-J199</f>
        <v>10031</v>
      </c>
      <c r="K205" s="18">
        <f t="shared" si="97"/>
        <v>10031</v>
      </c>
      <c r="L205" s="18">
        <f t="shared" si="97"/>
        <v>10031</v>
      </c>
      <c r="M205" s="18">
        <f t="shared" si="97"/>
        <v>10000</v>
      </c>
      <c r="N205" s="18">
        <f t="shared" si="97"/>
        <v>10000</v>
      </c>
      <c r="O205" s="18">
        <f t="shared" si="97"/>
        <v>10000</v>
      </c>
    </row>
    <row r="206" spans="1:15" ht="12.75" x14ac:dyDescent="0.2">
      <c r="A206" s="124" t="str">
        <f t="shared" si="93"/>
        <v>Pagat</v>
      </c>
      <c r="B206" s="966">
        <f t="shared" si="93"/>
        <v>600</v>
      </c>
      <c r="C206" s="967">
        <f t="shared" si="93"/>
        <v>0</v>
      </c>
      <c r="D206" s="968">
        <f t="shared" si="93"/>
        <v>0</v>
      </c>
      <c r="E206" s="37">
        <v>8568</v>
      </c>
      <c r="F206" s="37">
        <v>8568</v>
      </c>
      <c r="G206" s="37">
        <v>8568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66">
        <f t="shared" si="93"/>
        <v>601</v>
      </c>
      <c r="C207" s="967">
        <f t="shared" si="93"/>
        <v>0</v>
      </c>
      <c r="D207" s="968">
        <f t="shared" si="93"/>
        <v>0</v>
      </c>
      <c r="E207" s="37">
        <v>1432</v>
      </c>
      <c r="F207" s="37">
        <v>1432</v>
      </c>
      <c r="G207" s="37">
        <v>1432</v>
      </c>
      <c r="H207" s="53"/>
    </row>
    <row r="208" spans="1:15" ht="12.75" x14ac:dyDescent="0.2">
      <c r="A208" s="124" t="str">
        <f t="shared" si="93"/>
        <v>Mallra dhe shërbime</v>
      </c>
      <c r="B208" s="966">
        <f t="shared" si="93"/>
        <v>602</v>
      </c>
      <c r="C208" s="967">
        <f t="shared" si="93"/>
        <v>0</v>
      </c>
      <c r="D208" s="968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1027" t="str">
        <f>J37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66">
        <f t="shared" si="93"/>
        <v>603</v>
      </c>
      <c r="C209" s="967">
        <f t="shared" si="93"/>
        <v>0</v>
      </c>
      <c r="D209" s="968">
        <f t="shared" si="93"/>
        <v>0</v>
      </c>
      <c r="E209" s="37"/>
      <c r="F209" s="37"/>
      <c r="G209" s="37"/>
      <c r="H209" s="53"/>
      <c r="I209" s="742" t="str">
        <f>I38</f>
        <v>Qëllime</v>
      </c>
      <c r="J209" s="1027" t="str">
        <f>J38</f>
        <v>Shpenzimet kapitale</v>
      </c>
      <c r="K209" s="1028"/>
      <c r="L209" s="1029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66">
        <f t="shared" si="93"/>
        <v>604</v>
      </c>
      <c r="C210" s="967">
        <f t="shared" si="93"/>
        <v>0</v>
      </c>
      <c r="D210" s="968">
        <f t="shared" si="93"/>
        <v>0</v>
      </c>
      <c r="E210" s="37"/>
      <c r="F210" s="37"/>
      <c r="G210" s="37"/>
      <c r="H210" s="53"/>
      <c r="I210" s="315"/>
      <c r="J210" s="1027" t="str">
        <f>J39</f>
        <v>Mallra dhe shërbime</v>
      </c>
      <c r="K210" s="1028"/>
      <c r="L210" s="1029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66">
        <f t="shared" si="93"/>
        <v>605</v>
      </c>
      <c r="C211" s="967">
        <f t="shared" si="93"/>
        <v>0</v>
      </c>
      <c r="D211" s="968">
        <f t="shared" si="93"/>
        <v>0</v>
      </c>
      <c r="E211" s="37"/>
      <c r="F211" s="37"/>
      <c r="G211" s="37"/>
      <c r="H211" s="53"/>
      <c r="I211" s="315"/>
      <c r="J211" s="1027" t="str">
        <f>J40</f>
        <v>Qëllime të mëtejshme</v>
      </c>
      <c r="K211" s="1028"/>
      <c r="L211" s="1029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66">
        <f t="shared" si="93"/>
        <v>606</v>
      </c>
      <c r="C212" s="967">
        <f t="shared" si="93"/>
        <v>0</v>
      </c>
      <c r="D212" s="968">
        <f t="shared" si="93"/>
        <v>0</v>
      </c>
      <c r="E212" s="37"/>
      <c r="F212" s="37"/>
      <c r="G212" s="37"/>
      <c r="H212" s="53"/>
      <c r="I212" s="315"/>
      <c r="J212" s="1023"/>
      <c r="K212" s="1023"/>
      <c r="L212" s="1023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49" t="str">
        <f t="shared" si="93"/>
        <v>Shpenzimet kapitale</v>
      </c>
      <c r="B213" s="993" t="str">
        <f t="shared" si="93"/>
        <v>230 / 231</v>
      </c>
      <c r="C213" s="994">
        <f t="shared" si="93"/>
        <v>0</v>
      </c>
      <c r="D213" s="995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66">
        <f t="shared" si="93"/>
        <v>609</v>
      </c>
      <c r="C214" s="967">
        <f t="shared" si="93"/>
        <v>0</v>
      </c>
      <c r="D214" s="968">
        <f t="shared" si="93"/>
        <v>0</v>
      </c>
      <c r="E214" s="37"/>
      <c r="F214" s="37"/>
      <c r="G214" s="37"/>
      <c r="H214" s="53"/>
      <c r="I214" s="419">
        <f>I97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93"/>
        <v>Interesa per kredi direkte ose bono</v>
      </c>
      <c r="B215" s="996">
        <f t="shared" si="93"/>
        <v>650</v>
      </c>
      <c r="C215" s="997">
        <f t="shared" si="93"/>
        <v>0</v>
      </c>
      <c r="D215" s="998">
        <f t="shared" si="93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10000</v>
      </c>
      <c r="F217" s="129">
        <f t="shared" ref="F217" si="100">SUM(F206:F216)</f>
        <v>10000</v>
      </c>
      <c r="G217" s="129">
        <f t="shared" ref="G217" si="101">SUM(G206:G216)</f>
        <v>10000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10031</v>
      </c>
      <c r="C219" s="34">
        <f t="shared" ref="C219:D219" si="102">C189</f>
        <v>10031</v>
      </c>
      <c r="D219" s="34">
        <f t="shared" si="102"/>
        <v>10031</v>
      </c>
      <c r="E219" s="129">
        <f>E204+E217</f>
        <v>10000</v>
      </c>
      <c r="F219" s="129">
        <f>F204+F217</f>
        <v>10000</v>
      </c>
      <c r="G219" s="129">
        <f t="shared" ref="G219" si="103">G204+G217</f>
        <v>10000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customHeight="1" x14ac:dyDescent="0.2">
      <c r="A222" s="213" t="str">
        <f t="shared" ref="A222:O222" si="104">A66</f>
        <v>Nënfunksioni 1</v>
      </c>
      <c r="B222" s="962" t="str">
        <f t="shared" si="104"/>
        <v>011 Organet ekzekutive dhe legjislative, për çështjet financiare dhe fiskale, çështjet e brendshme</v>
      </c>
      <c r="C222" s="962">
        <f t="shared" si="104"/>
        <v>0</v>
      </c>
      <c r="D222" s="962">
        <f t="shared" si="104"/>
        <v>0</v>
      </c>
      <c r="E222" s="962">
        <f t="shared" si="104"/>
        <v>0</v>
      </c>
      <c r="F222" s="962">
        <f t="shared" si="104"/>
        <v>0</v>
      </c>
      <c r="G222" s="962">
        <f t="shared" si="104"/>
        <v>0</v>
      </c>
      <c r="H222" s="962">
        <f t="shared" si="104"/>
        <v>0</v>
      </c>
      <c r="I222" s="962">
        <f t="shared" si="104"/>
        <v>0</v>
      </c>
      <c r="J222" s="962">
        <f t="shared" si="104"/>
        <v>0</v>
      </c>
      <c r="K222" s="962">
        <f t="shared" si="104"/>
        <v>0</v>
      </c>
      <c r="L222" s="962">
        <f t="shared" si="104"/>
        <v>0</v>
      </c>
      <c r="M222" s="962">
        <f t="shared" si="104"/>
        <v>0</v>
      </c>
      <c r="N222" s="962">
        <f t="shared" si="104"/>
        <v>0</v>
      </c>
      <c r="O222" s="962">
        <f t="shared" si="104"/>
        <v>0</v>
      </c>
    </row>
    <row r="223" spans="1:15" ht="17.25" customHeight="1" x14ac:dyDescent="0.2">
      <c r="A223" s="276" t="str">
        <f>A10</f>
        <v>Programi 1e</v>
      </c>
      <c r="B223" s="962">
        <f>C10</f>
        <v>0</v>
      </c>
      <c r="C223" s="962" t="e">
        <f>#REF!</f>
        <v>#REF!</v>
      </c>
      <c r="D223" s="962" t="e">
        <f>#REF!</f>
        <v>#REF!</v>
      </c>
      <c r="E223" s="962" t="e">
        <f>#REF!</f>
        <v>#REF!</v>
      </c>
      <c r="F223" s="962" t="e">
        <f>#REF!</f>
        <v>#REF!</v>
      </c>
      <c r="G223" s="962" t="e">
        <f>#REF!</f>
        <v>#REF!</v>
      </c>
      <c r="H223" s="962" t="e">
        <f>#REF!</f>
        <v>#REF!</v>
      </c>
      <c r="I223" s="962" t="e">
        <f>#REF!</f>
        <v>#REF!</v>
      </c>
      <c r="J223" s="962" t="e">
        <f>#REF!</f>
        <v>#REF!</v>
      </c>
      <c r="K223" s="962" t="e">
        <f>#REF!</f>
        <v>#REF!</v>
      </c>
      <c r="L223" s="962" t="e">
        <f>#REF!</f>
        <v>#REF!</v>
      </c>
      <c r="M223" s="962" t="e">
        <f>#REF!</f>
        <v>#REF!</v>
      </c>
      <c r="N223" s="962" t="e">
        <f>#REF!</f>
        <v>#REF!</v>
      </c>
      <c r="O223" s="962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9" t="str">
        <f t="shared" ref="A225:G225" si="105">A69</f>
        <v>SHPENZIME TË PRITSHME</v>
      </c>
      <c r="B225" s="990">
        <f t="shared" si="105"/>
        <v>0</v>
      </c>
      <c r="C225" s="990">
        <f t="shared" si="105"/>
        <v>0</v>
      </c>
      <c r="D225" s="990">
        <f t="shared" si="105"/>
        <v>0</v>
      </c>
      <c r="E225" s="990">
        <f t="shared" si="105"/>
        <v>0</v>
      </c>
      <c r="F225" s="990">
        <f t="shared" si="105"/>
        <v>0</v>
      </c>
      <c r="G225" s="991">
        <f t="shared" si="105"/>
        <v>0</v>
      </c>
      <c r="H225" s="131"/>
      <c r="I225" s="992" t="str">
        <f t="shared" ref="I225:O225" si="106">I69</f>
        <v xml:space="preserve">TË ARDHURAT E PRITSHME </v>
      </c>
      <c r="J225" s="990">
        <f t="shared" si="106"/>
        <v>0</v>
      </c>
      <c r="K225" s="990">
        <f t="shared" si="106"/>
        <v>0</v>
      </c>
      <c r="L225" s="990">
        <f t="shared" si="106"/>
        <v>0</v>
      </c>
      <c r="M225" s="990">
        <f t="shared" si="106"/>
        <v>0</v>
      </c>
      <c r="N225" s="990">
        <f t="shared" si="106"/>
        <v>0</v>
      </c>
      <c r="O225" s="991">
        <f t="shared" si="106"/>
        <v>0</v>
      </c>
    </row>
    <row r="226" spans="1:15" ht="18.75" customHeight="1" x14ac:dyDescent="0.2">
      <c r="A226" s="211"/>
      <c r="B226" s="417">
        <f t="shared" ref="B226:G226" si="107">B70</f>
        <v>2019</v>
      </c>
      <c r="C226" s="417">
        <f t="shared" si="107"/>
        <v>2020</v>
      </c>
      <c r="D226" s="417">
        <f t="shared" si="107"/>
        <v>2021</v>
      </c>
      <c r="E226" s="251">
        <f t="shared" si="107"/>
        <v>2022</v>
      </c>
      <c r="F226" s="251">
        <f t="shared" si="107"/>
        <v>2023</v>
      </c>
      <c r="G226" s="251">
        <f t="shared" si="107"/>
        <v>2024</v>
      </c>
      <c r="H226" s="212"/>
      <c r="I226" s="414"/>
      <c r="J226" s="417">
        <f t="shared" ref="J226:O226" si="108">J70</f>
        <v>2019</v>
      </c>
      <c r="K226" s="417">
        <f t="shared" si="108"/>
        <v>2020</v>
      </c>
      <c r="L226" s="417">
        <f t="shared" si="108"/>
        <v>2021</v>
      </c>
      <c r="M226" s="251">
        <f t="shared" si="108"/>
        <v>2022</v>
      </c>
      <c r="N226" s="251">
        <f t="shared" si="108"/>
        <v>2023</v>
      </c>
      <c r="O226" s="251">
        <f t="shared" si="108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63" t="str">
        <f t="shared" ref="I228:O228" si="109">I72</f>
        <v>VLERËSIM I ARDHURAVE NGA TARIFAT</v>
      </c>
      <c r="J228" s="964">
        <f t="shared" si="109"/>
        <v>0</v>
      </c>
      <c r="K228" s="964">
        <f t="shared" si="109"/>
        <v>0</v>
      </c>
      <c r="L228" s="964">
        <f t="shared" si="109"/>
        <v>0</v>
      </c>
      <c r="M228" s="964">
        <f t="shared" si="109"/>
        <v>0</v>
      </c>
      <c r="N228" s="964">
        <f t="shared" si="109"/>
        <v>0</v>
      </c>
      <c r="O228" s="965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69" t="str">
        <f t="shared" ref="A230:G231" si="110">A74</f>
        <v>SHPENZIME TË PRITSHME</v>
      </c>
      <c r="B230" s="970">
        <f t="shared" si="110"/>
        <v>0</v>
      </c>
      <c r="C230" s="970">
        <f t="shared" si="110"/>
        <v>0</v>
      </c>
      <c r="D230" s="970">
        <f t="shared" si="110"/>
        <v>0</v>
      </c>
      <c r="E230" s="970">
        <f t="shared" si="110"/>
        <v>0</v>
      </c>
      <c r="F230" s="970">
        <f t="shared" si="110"/>
        <v>0</v>
      </c>
      <c r="G230" s="971">
        <f t="shared" si="110"/>
        <v>0</v>
      </c>
      <c r="H230" s="10"/>
    </row>
    <row r="231" spans="1:15" ht="12.75" x14ac:dyDescent="0.2">
      <c r="A231" s="963" t="str">
        <f t="shared" si="110"/>
        <v>KOSTO DIREKTE PËR PROJEKTET DHE SHPENZIMET KAPITALE</v>
      </c>
      <c r="B231" s="964">
        <f t="shared" si="110"/>
        <v>0</v>
      </c>
      <c r="C231" s="964">
        <f t="shared" si="110"/>
        <v>0</v>
      </c>
      <c r="D231" s="964">
        <f t="shared" si="110"/>
        <v>0</v>
      </c>
      <c r="E231" s="964">
        <f t="shared" si="110"/>
        <v>0</v>
      </c>
      <c r="F231" s="964">
        <f t="shared" si="110"/>
        <v>0</v>
      </c>
      <c r="G231" s="965">
        <f t="shared" si="110"/>
        <v>0</v>
      </c>
      <c r="H231" s="31"/>
      <c r="I231" s="963" t="str">
        <f t="shared" ref="I231:I236" si="111">I75</f>
        <v>VLERËSIMI I TË ARDHURAVE ME DESTINACION</v>
      </c>
      <c r="J231" s="964"/>
      <c r="K231" s="964"/>
      <c r="L231" s="964"/>
      <c r="M231" s="964"/>
      <c r="N231" s="964"/>
      <c r="O231" s="965"/>
    </row>
    <row r="232" spans="1:15" ht="12.75" x14ac:dyDescent="0.2">
      <c r="A232" s="124" t="str">
        <f t="shared" ref="A232:D254" si="112">A76</f>
        <v>Pagat</v>
      </c>
      <c r="B232" s="966">
        <f t="shared" si="112"/>
        <v>600</v>
      </c>
      <c r="C232" s="967">
        <f t="shared" si="112"/>
        <v>0</v>
      </c>
      <c r="D232" s="968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66">
        <f t="shared" si="112"/>
        <v>601</v>
      </c>
      <c r="C233" s="967">
        <f t="shared" si="112"/>
        <v>0</v>
      </c>
      <c r="D233" s="968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66">
        <f t="shared" si="112"/>
        <v>602</v>
      </c>
      <c r="C234" s="967">
        <f t="shared" si="112"/>
        <v>0</v>
      </c>
      <c r="D234" s="968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66">
        <f t="shared" si="112"/>
        <v>603</v>
      </c>
      <c r="C235" s="967">
        <f t="shared" si="112"/>
        <v>0</v>
      </c>
      <c r="D235" s="968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66">
        <f t="shared" si="112"/>
        <v>604</v>
      </c>
      <c r="C236" s="967">
        <f t="shared" si="112"/>
        <v>0</v>
      </c>
      <c r="D236" s="968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66">
        <f t="shared" si="112"/>
        <v>605</v>
      </c>
      <c r="C237" s="967">
        <f t="shared" si="112"/>
        <v>0</v>
      </c>
      <c r="D237" s="968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66">
        <f t="shared" si="112"/>
        <v>606</v>
      </c>
      <c r="C238" s="967">
        <f t="shared" si="112"/>
        <v>0</v>
      </c>
      <c r="D238" s="968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66" t="str">
        <f t="shared" si="112"/>
        <v>230 / 231</v>
      </c>
      <c r="C239" s="967">
        <f t="shared" si="112"/>
        <v>0</v>
      </c>
      <c r="D239" s="968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66">
        <f t="shared" si="112"/>
        <v>609</v>
      </c>
      <c r="C240" s="967">
        <f t="shared" si="112"/>
        <v>0</v>
      </c>
      <c r="D240" s="968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66">
        <f t="shared" si="112"/>
        <v>650</v>
      </c>
      <c r="C241" s="967">
        <f t="shared" si="112"/>
        <v>0</v>
      </c>
      <c r="D241" s="968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66" t="str">
        <f t="shared" si="112"/>
        <v>69 / ?</v>
      </c>
      <c r="C242" s="967">
        <f t="shared" si="112"/>
        <v>0</v>
      </c>
      <c r="D242" s="968">
        <f t="shared" si="112"/>
        <v>0</v>
      </c>
      <c r="E242" s="129"/>
      <c r="F242" s="129"/>
      <c r="G242" s="129"/>
      <c r="H242" s="53"/>
      <c r="I242" s="972" t="str">
        <f t="shared" ref="I242:O243" si="115">I86</f>
        <v>SHUMA E KËRKUAR NETO</v>
      </c>
      <c r="J242" s="973">
        <f t="shared" si="115"/>
        <v>0</v>
      </c>
      <c r="K242" s="973">
        <f t="shared" si="115"/>
        <v>0</v>
      </c>
      <c r="L242" s="973">
        <f t="shared" si="115"/>
        <v>0</v>
      </c>
      <c r="M242" s="973">
        <f t="shared" si="115"/>
        <v>0</v>
      </c>
      <c r="N242" s="973">
        <f t="shared" si="115"/>
        <v>0</v>
      </c>
      <c r="O242" s="974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66">
        <f t="shared" si="112"/>
        <v>0</v>
      </c>
      <c r="C243" s="967">
        <f t="shared" si="112"/>
        <v>0</v>
      </c>
      <c r="D243" s="968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75">
        <f t="shared" si="115"/>
        <v>0</v>
      </c>
      <c r="J243" s="976">
        <f t="shared" si="115"/>
        <v>0</v>
      </c>
      <c r="K243" s="976">
        <f t="shared" si="115"/>
        <v>0</v>
      </c>
      <c r="L243" s="976">
        <f t="shared" si="115"/>
        <v>0</v>
      </c>
      <c r="M243" s="976">
        <f t="shared" si="115"/>
        <v>0</v>
      </c>
      <c r="N243" s="976">
        <f t="shared" si="115"/>
        <v>0</v>
      </c>
      <c r="O243" s="977">
        <f t="shared" si="115"/>
        <v>0</v>
      </c>
    </row>
    <row r="244" spans="1:15" ht="12.75" x14ac:dyDescent="0.2">
      <c r="A244" s="963" t="str">
        <f t="shared" si="112"/>
        <v>SHPENZIME KORRENTE</v>
      </c>
      <c r="B244" s="964">
        <f t="shared" si="112"/>
        <v>0</v>
      </c>
      <c r="C244" s="964">
        <f t="shared" si="112"/>
        <v>0</v>
      </c>
      <c r="D244" s="964">
        <f t="shared" si="112"/>
        <v>0</v>
      </c>
      <c r="E244" s="964">
        <f>E88</f>
        <v>0</v>
      </c>
      <c r="F244" s="964">
        <f>F88</f>
        <v>0</v>
      </c>
      <c r="G244" s="965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66">
        <f t="shared" si="112"/>
        <v>600</v>
      </c>
      <c r="C245" s="967">
        <f t="shared" si="112"/>
        <v>0</v>
      </c>
      <c r="D245" s="968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66">
        <f t="shared" si="112"/>
        <v>601</v>
      </c>
      <c r="C246" s="967">
        <f t="shared" si="112"/>
        <v>0</v>
      </c>
      <c r="D246" s="968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66">
        <f t="shared" si="112"/>
        <v>602</v>
      </c>
      <c r="C247" s="967">
        <f t="shared" si="112"/>
        <v>0</v>
      </c>
      <c r="D247" s="968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1027" t="str">
        <f>J208</f>
        <v>Vlera Totale për Aktivitet</v>
      </c>
      <c r="K247" s="1028"/>
      <c r="L247" s="10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66">
        <f t="shared" si="112"/>
        <v>603</v>
      </c>
      <c r="C248" s="967">
        <f t="shared" si="112"/>
        <v>0</v>
      </c>
      <c r="D248" s="968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1027" t="str">
        <f>J209</f>
        <v>Shpenzimet kapitale</v>
      </c>
      <c r="K248" s="1028"/>
      <c r="L248" s="1029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66">
        <f t="shared" si="112"/>
        <v>604</v>
      </c>
      <c r="C249" s="967">
        <f t="shared" si="112"/>
        <v>0</v>
      </c>
      <c r="D249" s="968">
        <f t="shared" si="112"/>
        <v>0</v>
      </c>
      <c r="E249" s="37"/>
      <c r="F249" s="37"/>
      <c r="G249" s="37"/>
      <c r="H249" s="53"/>
      <c r="I249" s="315"/>
      <c r="J249" s="1027" t="str">
        <f>J210</f>
        <v>Mallra dhe shërbime</v>
      </c>
      <c r="K249" s="1028"/>
      <c r="L249" s="1029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66">
        <f t="shared" si="112"/>
        <v>605</v>
      </c>
      <c r="C250" s="967">
        <f t="shared" si="112"/>
        <v>0</v>
      </c>
      <c r="D250" s="968">
        <f t="shared" si="112"/>
        <v>0</v>
      </c>
      <c r="E250" s="37"/>
      <c r="F250" s="37"/>
      <c r="G250" s="37"/>
      <c r="H250" s="53"/>
      <c r="I250" s="315"/>
      <c r="J250" s="1027" t="str">
        <f>J211</f>
        <v>Qëllime të mëtejshme</v>
      </c>
      <c r="K250" s="1028"/>
      <c r="L250" s="1029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66">
        <f t="shared" si="112"/>
        <v>606</v>
      </c>
      <c r="C251" s="967">
        <f t="shared" si="112"/>
        <v>0</v>
      </c>
      <c r="D251" s="968">
        <f t="shared" si="112"/>
        <v>0</v>
      </c>
      <c r="E251" s="37"/>
      <c r="F251" s="37"/>
      <c r="G251" s="37"/>
      <c r="H251" s="53"/>
      <c r="I251" s="315"/>
      <c r="J251" s="1023"/>
      <c r="K251" s="1023"/>
      <c r="L251" s="1023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9" t="str">
        <f t="shared" si="112"/>
        <v>Shpenzimet kapitale</v>
      </c>
      <c r="B252" s="993" t="str">
        <f t="shared" si="112"/>
        <v>230 / 231</v>
      </c>
      <c r="C252" s="994">
        <f t="shared" si="112"/>
        <v>0</v>
      </c>
      <c r="D252" s="995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66">
        <f t="shared" si="112"/>
        <v>609</v>
      </c>
      <c r="C253" s="967">
        <f t="shared" si="112"/>
        <v>0</v>
      </c>
      <c r="D253" s="968">
        <f t="shared" si="112"/>
        <v>0</v>
      </c>
      <c r="E253" s="37"/>
      <c r="F253" s="37"/>
      <c r="G253" s="37"/>
      <c r="H253" s="53"/>
      <c r="I253" s="419">
        <f>M226</f>
        <v>2022</v>
      </c>
      <c r="J253" s="1008"/>
      <c r="K253" s="1009"/>
      <c r="L253" s="1009"/>
      <c r="M253" s="1009"/>
      <c r="N253" s="1009"/>
      <c r="O253" s="1010"/>
    </row>
    <row r="254" spans="1:15" ht="12.75" x14ac:dyDescent="0.2">
      <c r="A254" s="124" t="str">
        <f t="shared" si="112"/>
        <v>Interesa per kredi direkte ose bono</v>
      </c>
      <c r="B254" s="996">
        <f t="shared" si="112"/>
        <v>650</v>
      </c>
      <c r="C254" s="997">
        <f t="shared" si="112"/>
        <v>0</v>
      </c>
      <c r="D254" s="998">
        <f t="shared" si="112"/>
        <v>0</v>
      </c>
      <c r="E254" s="37"/>
      <c r="F254" s="37"/>
      <c r="G254" s="37"/>
      <c r="H254" s="53"/>
      <c r="I254" s="420"/>
      <c r="J254" s="1011"/>
      <c r="K254" s="1012"/>
      <c r="L254" s="1012"/>
      <c r="M254" s="1012"/>
      <c r="N254" s="1012"/>
      <c r="O254" s="1013"/>
    </row>
    <row r="255" spans="1:15" ht="12.75" x14ac:dyDescent="0.2">
      <c r="A255" s="252" t="str">
        <f>A99</f>
        <v>Të tjera</v>
      </c>
      <c r="B255" s="966" t="str">
        <f>B99</f>
        <v>69 / ?</v>
      </c>
      <c r="C255" s="967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2023</v>
      </c>
      <c r="J255" s="1008"/>
      <c r="K255" s="1009"/>
      <c r="L255" s="1009"/>
      <c r="M255" s="1009"/>
      <c r="N255" s="1009"/>
      <c r="O255" s="1010"/>
    </row>
    <row r="256" spans="1:15" ht="12.75" x14ac:dyDescent="0.2">
      <c r="A256" s="124" t="str">
        <f>A100</f>
        <v>SHPENZIME KORRENTE</v>
      </c>
      <c r="B256" s="999"/>
      <c r="C256" s="1000"/>
      <c r="D256" s="1001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1014"/>
      <c r="K256" s="1015"/>
      <c r="L256" s="1015"/>
      <c r="M256" s="1015"/>
      <c r="N256" s="1015"/>
      <c r="O256" s="1016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1008"/>
      <c r="K257" s="1009"/>
      <c r="L257" s="1009"/>
      <c r="M257" s="1009"/>
      <c r="N257" s="1009"/>
      <c r="O257" s="1010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1014"/>
      <c r="K258" s="1015"/>
      <c r="L258" s="1015"/>
      <c r="M258" s="1015"/>
      <c r="N258" s="1015"/>
      <c r="O258" s="1016"/>
    </row>
    <row r="261" spans="1:15" ht="17.25" customHeight="1" x14ac:dyDescent="0.2">
      <c r="A261" s="213" t="str">
        <f t="shared" ref="A261:O261" si="125">A105</f>
        <v>Nënfunksioni 1</v>
      </c>
      <c r="B261" s="962" t="str">
        <f t="shared" si="125"/>
        <v>011 Organet ekzekutive dhe legjislative, për çështjet financiare dhe fiskale, çështjet e brendshme</v>
      </c>
      <c r="C261" s="962">
        <f t="shared" si="125"/>
        <v>0</v>
      </c>
      <c r="D261" s="962">
        <f t="shared" si="125"/>
        <v>0</v>
      </c>
      <c r="E261" s="962">
        <f t="shared" si="125"/>
        <v>0</v>
      </c>
      <c r="F261" s="962">
        <f t="shared" si="125"/>
        <v>0</v>
      </c>
      <c r="G261" s="962">
        <f t="shared" si="125"/>
        <v>0</v>
      </c>
      <c r="H261" s="962">
        <f t="shared" si="125"/>
        <v>0</v>
      </c>
      <c r="I261" s="962">
        <f t="shared" si="125"/>
        <v>0</v>
      </c>
      <c r="J261" s="962">
        <f t="shared" si="125"/>
        <v>0</v>
      </c>
      <c r="K261" s="962">
        <f t="shared" si="125"/>
        <v>0</v>
      </c>
      <c r="L261" s="962">
        <f t="shared" si="125"/>
        <v>0</v>
      </c>
      <c r="M261" s="962">
        <f t="shared" si="125"/>
        <v>0</v>
      </c>
      <c r="N261" s="962">
        <f t="shared" si="125"/>
        <v>0</v>
      </c>
      <c r="O261" s="962">
        <f t="shared" si="125"/>
        <v>0</v>
      </c>
    </row>
    <row r="262" spans="1:15" ht="17.25" customHeight="1" x14ac:dyDescent="0.2">
      <c r="A262" s="276" t="str">
        <f>A11</f>
        <v>Programi 1f</v>
      </c>
      <c r="B262" s="962">
        <f>C11</f>
        <v>0</v>
      </c>
      <c r="C262" s="962" t="e">
        <f>#REF!</f>
        <v>#REF!</v>
      </c>
      <c r="D262" s="962" t="e">
        <f>#REF!</f>
        <v>#REF!</v>
      </c>
      <c r="E262" s="962" t="e">
        <f>#REF!</f>
        <v>#REF!</v>
      </c>
      <c r="F262" s="962" t="e">
        <f>#REF!</f>
        <v>#REF!</v>
      </c>
      <c r="G262" s="962" t="e">
        <f>#REF!</f>
        <v>#REF!</v>
      </c>
      <c r="H262" s="962" t="e">
        <f>#REF!</f>
        <v>#REF!</v>
      </c>
      <c r="I262" s="962" t="e">
        <f>#REF!</f>
        <v>#REF!</v>
      </c>
      <c r="J262" s="962" t="e">
        <f>#REF!</f>
        <v>#REF!</v>
      </c>
      <c r="K262" s="962" t="e">
        <f>#REF!</f>
        <v>#REF!</v>
      </c>
      <c r="L262" s="962" t="e">
        <f>#REF!</f>
        <v>#REF!</v>
      </c>
      <c r="M262" s="962" t="e">
        <f>#REF!</f>
        <v>#REF!</v>
      </c>
      <c r="N262" s="962" t="e">
        <f>#REF!</f>
        <v>#REF!</v>
      </c>
      <c r="O262" s="962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89" t="str">
        <f t="shared" ref="A264:G264" si="126">A108</f>
        <v>SHPENZIME TË PRITSHME</v>
      </c>
      <c r="B264" s="990">
        <f t="shared" si="126"/>
        <v>0</v>
      </c>
      <c r="C264" s="990">
        <f t="shared" si="126"/>
        <v>0</v>
      </c>
      <c r="D264" s="990">
        <f t="shared" si="126"/>
        <v>0</v>
      </c>
      <c r="E264" s="990">
        <f t="shared" si="126"/>
        <v>0</v>
      </c>
      <c r="F264" s="990">
        <f t="shared" si="126"/>
        <v>0</v>
      </c>
      <c r="G264" s="991">
        <f t="shared" si="126"/>
        <v>0</v>
      </c>
      <c r="H264" s="131"/>
      <c r="I264" s="992" t="str">
        <f t="shared" ref="I264:O264" si="127">I108</f>
        <v xml:space="preserve">TË ARDHURAT E PRITSHME </v>
      </c>
      <c r="J264" s="990">
        <f t="shared" si="127"/>
        <v>0</v>
      </c>
      <c r="K264" s="990">
        <f t="shared" si="127"/>
        <v>0</v>
      </c>
      <c r="L264" s="990">
        <f t="shared" si="127"/>
        <v>0</v>
      </c>
      <c r="M264" s="990">
        <f t="shared" si="127"/>
        <v>0</v>
      </c>
      <c r="N264" s="990">
        <f t="shared" si="127"/>
        <v>0</v>
      </c>
      <c r="O264" s="991">
        <f t="shared" si="127"/>
        <v>0</v>
      </c>
    </row>
    <row r="265" spans="1:15" ht="20.25" customHeight="1" x14ac:dyDescent="0.2">
      <c r="A265" s="211"/>
      <c r="B265" s="417">
        <f t="shared" ref="B265:G265" si="128">B109</f>
        <v>2019</v>
      </c>
      <c r="C265" s="417">
        <f t="shared" si="128"/>
        <v>2020</v>
      </c>
      <c r="D265" s="417">
        <f t="shared" si="128"/>
        <v>2021</v>
      </c>
      <c r="E265" s="251">
        <f t="shared" si="128"/>
        <v>2022</v>
      </c>
      <c r="F265" s="251">
        <f t="shared" si="128"/>
        <v>2023</v>
      </c>
      <c r="G265" s="251">
        <f t="shared" si="128"/>
        <v>2024</v>
      </c>
      <c r="H265" s="212"/>
      <c r="I265" s="414"/>
      <c r="J265" s="417">
        <f t="shared" ref="J265:O265" si="129">J109</f>
        <v>2019</v>
      </c>
      <c r="K265" s="417">
        <f t="shared" si="129"/>
        <v>2020</v>
      </c>
      <c r="L265" s="417">
        <f t="shared" si="129"/>
        <v>2021</v>
      </c>
      <c r="M265" s="251">
        <f t="shared" si="129"/>
        <v>2022</v>
      </c>
      <c r="N265" s="251">
        <f t="shared" si="129"/>
        <v>2023</v>
      </c>
      <c r="O265" s="251">
        <f t="shared" si="129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63" t="str">
        <f t="shared" ref="I267:O267" si="130">I111</f>
        <v>VLERËSIM I ARDHURAVE NGA TARIFAT</v>
      </c>
      <c r="J267" s="964">
        <f t="shared" si="130"/>
        <v>0</v>
      </c>
      <c r="K267" s="964">
        <f t="shared" si="130"/>
        <v>0</v>
      </c>
      <c r="L267" s="964">
        <f t="shared" si="130"/>
        <v>0</v>
      </c>
      <c r="M267" s="964">
        <f t="shared" si="130"/>
        <v>0</v>
      </c>
      <c r="N267" s="964">
        <f t="shared" si="130"/>
        <v>0</v>
      </c>
      <c r="O267" s="965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9" t="str">
        <f t="shared" ref="A269:G269" si="131">A113</f>
        <v>SHPENZIME TË PRITSHME</v>
      </c>
      <c r="B269" s="970">
        <f t="shared" si="131"/>
        <v>0</v>
      </c>
      <c r="C269" s="970">
        <f t="shared" si="131"/>
        <v>0</v>
      </c>
      <c r="D269" s="970">
        <f t="shared" si="131"/>
        <v>0</v>
      </c>
      <c r="E269" s="970">
        <f t="shared" si="131"/>
        <v>0</v>
      </c>
      <c r="F269" s="970">
        <f t="shared" si="131"/>
        <v>0</v>
      </c>
      <c r="G269" s="971">
        <f t="shared" si="131"/>
        <v>0</v>
      </c>
      <c r="H269" s="10"/>
    </row>
    <row r="270" spans="1:15" ht="12.75" x14ac:dyDescent="0.2">
      <c r="A270" s="963" t="str">
        <f t="shared" ref="A270:G270" si="132">A114</f>
        <v>KOSTO DIREKTE PËR PROJEKTET DHE SHPENZIMET KAPITALE</v>
      </c>
      <c r="B270" s="964">
        <f t="shared" si="132"/>
        <v>0</v>
      </c>
      <c r="C270" s="964">
        <f t="shared" si="132"/>
        <v>0</v>
      </c>
      <c r="D270" s="964">
        <f t="shared" si="132"/>
        <v>0</v>
      </c>
      <c r="E270" s="964">
        <f t="shared" si="132"/>
        <v>0</v>
      </c>
      <c r="F270" s="964">
        <f t="shared" si="132"/>
        <v>0</v>
      </c>
      <c r="G270" s="965">
        <f t="shared" si="132"/>
        <v>0</v>
      </c>
      <c r="H270" s="31"/>
      <c r="I270" s="963" t="str">
        <f t="shared" ref="I270:I275" si="133">I114</f>
        <v>VLERËSIMI I TË ARDHURAVE ME DESTINACION</v>
      </c>
      <c r="J270" s="964"/>
      <c r="K270" s="964"/>
      <c r="L270" s="964"/>
      <c r="M270" s="964"/>
      <c r="N270" s="964"/>
      <c r="O270" s="965"/>
    </row>
    <row r="271" spans="1:15" ht="12.75" x14ac:dyDescent="0.2">
      <c r="A271" s="124" t="str">
        <f t="shared" ref="A271:D271" si="134">A115</f>
        <v>Pagat</v>
      </c>
      <c r="B271" s="966">
        <f t="shared" si="134"/>
        <v>600</v>
      </c>
      <c r="C271" s="967">
        <f t="shared" si="134"/>
        <v>0</v>
      </c>
      <c r="D271" s="968">
        <f t="shared" si="134"/>
        <v>0</v>
      </c>
      <c r="E271" s="129"/>
      <c r="F271" s="129"/>
      <c r="G271" s="129"/>
      <c r="H271" s="31"/>
      <c r="I271" s="544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66">
        <f t="shared" si="135"/>
        <v>601</v>
      </c>
      <c r="C272" s="967">
        <f t="shared" si="135"/>
        <v>0</v>
      </c>
      <c r="D272" s="968">
        <f t="shared" si="135"/>
        <v>0</v>
      </c>
      <c r="E272" s="129"/>
      <c r="F272" s="129"/>
      <c r="G272" s="129"/>
      <c r="H272" s="31"/>
      <c r="I272" s="544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66">
        <f t="shared" si="136"/>
        <v>602</v>
      </c>
      <c r="C273" s="967">
        <f t="shared" si="136"/>
        <v>0</v>
      </c>
      <c r="D273" s="968">
        <f t="shared" si="136"/>
        <v>0</v>
      </c>
      <c r="E273" s="129"/>
      <c r="F273" s="129"/>
      <c r="G273" s="129"/>
      <c r="H273" s="53"/>
      <c r="I273" s="544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66">
        <f t="shared" si="137"/>
        <v>603</v>
      </c>
      <c r="C274" s="967">
        <f t="shared" si="137"/>
        <v>0</v>
      </c>
      <c r="D274" s="968">
        <f t="shared" si="137"/>
        <v>0</v>
      </c>
      <c r="E274" s="129"/>
      <c r="F274" s="129"/>
      <c r="G274" s="129"/>
      <c r="H274" s="8"/>
      <c r="I274" s="544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66">
        <f t="shared" si="138"/>
        <v>604</v>
      </c>
      <c r="C275" s="967">
        <f t="shared" si="138"/>
        <v>0</v>
      </c>
      <c r="D275" s="968">
        <f t="shared" si="138"/>
        <v>0</v>
      </c>
      <c r="E275" s="129"/>
      <c r="F275" s="129"/>
      <c r="G275" s="129"/>
      <c r="H275" s="53"/>
      <c r="I275" s="544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66">
        <f t="shared" si="140"/>
        <v>605</v>
      </c>
      <c r="C276" s="967">
        <f t="shared" si="140"/>
        <v>0</v>
      </c>
      <c r="D276" s="968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66">
        <f t="shared" si="141"/>
        <v>606</v>
      </c>
      <c r="C277" s="967">
        <f t="shared" si="141"/>
        <v>0</v>
      </c>
      <c r="D277" s="968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66" t="str">
        <f t="shared" si="142"/>
        <v>230 / 231</v>
      </c>
      <c r="C278" s="967">
        <f t="shared" si="142"/>
        <v>0</v>
      </c>
      <c r="D278" s="968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66">
        <f t="shared" si="143"/>
        <v>609</v>
      </c>
      <c r="C279" s="967">
        <f t="shared" si="143"/>
        <v>0</v>
      </c>
      <c r="D279" s="968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66">
        <f t="shared" si="144"/>
        <v>650</v>
      </c>
      <c r="C280" s="967">
        <f t="shared" si="144"/>
        <v>0</v>
      </c>
      <c r="D280" s="968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66" t="str">
        <f t="shared" si="145"/>
        <v>69 / ?</v>
      </c>
      <c r="C281" s="967">
        <f t="shared" si="145"/>
        <v>0</v>
      </c>
      <c r="D281" s="968">
        <f t="shared" si="145"/>
        <v>0</v>
      </c>
      <c r="E281" s="129"/>
      <c r="F281" s="129"/>
      <c r="G281" s="129"/>
      <c r="H281" s="53"/>
      <c r="I281" s="972" t="str">
        <f t="shared" ref="I281:O281" si="146">I125</f>
        <v>SHUMA E KËRKUAR NETO</v>
      </c>
      <c r="J281" s="973">
        <f t="shared" si="146"/>
        <v>0</v>
      </c>
      <c r="K281" s="973">
        <f t="shared" si="146"/>
        <v>0</v>
      </c>
      <c r="L281" s="973">
        <f t="shared" si="146"/>
        <v>0</v>
      </c>
      <c r="M281" s="973">
        <f t="shared" si="146"/>
        <v>0</v>
      </c>
      <c r="N281" s="973">
        <f t="shared" si="146"/>
        <v>0</v>
      </c>
      <c r="O281" s="974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66">
        <f t="shared" si="147"/>
        <v>0</v>
      </c>
      <c r="C282" s="967">
        <f t="shared" si="147"/>
        <v>0</v>
      </c>
      <c r="D282" s="968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75">
        <f t="shared" ref="I282:O282" si="149">I126</f>
        <v>0</v>
      </c>
      <c r="J282" s="976">
        <f t="shared" si="149"/>
        <v>0</v>
      </c>
      <c r="K282" s="976">
        <f t="shared" si="149"/>
        <v>0</v>
      </c>
      <c r="L282" s="976">
        <f t="shared" si="149"/>
        <v>0</v>
      </c>
      <c r="M282" s="976">
        <f t="shared" si="149"/>
        <v>0</v>
      </c>
      <c r="N282" s="976">
        <f t="shared" si="149"/>
        <v>0</v>
      </c>
      <c r="O282" s="977">
        <f t="shared" si="149"/>
        <v>0</v>
      </c>
    </row>
    <row r="283" spans="1:15" ht="12.75" x14ac:dyDescent="0.2">
      <c r="A283" s="963" t="str">
        <f t="shared" ref="A283:D283" si="150">A127</f>
        <v>SHPENZIME KORRENTE</v>
      </c>
      <c r="B283" s="964">
        <f t="shared" si="150"/>
        <v>0</v>
      </c>
      <c r="C283" s="964">
        <f t="shared" si="150"/>
        <v>0</v>
      </c>
      <c r="D283" s="964">
        <f t="shared" si="150"/>
        <v>0</v>
      </c>
      <c r="E283" s="964">
        <f>E127</f>
        <v>0</v>
      </c>
      <c r="F283" s="964">
        <f>F127</f>
        <v>0</v>
      </c>
      <c r="G283" s="965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66">
        <f t="shared" si="157"/>
        <v>600</v>
      </c>
      <c r="C284" s="967">
        <f t="shared" si="157"/>
        <v>0</v>
      </c>
      <c r="D284" s="968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66">
        <f t="shared" si="158"/>
        <v>601</v>
      </c>
      <c r="C285" s="967">
        <f t="shared" si="158"/>
        <v>0</v>
      </c>
      <c r="D285" s="968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66">
        <f t="shared" si="159"/>
        <v>602</v>
      </c>
      <c r="C286" s="967">
        <f t="shared" si="159"/>
        <v>0</v>
      </c>
      <c r="D286" s="968">
        <f t="shared" si="159"/>
        <v>0</v>
      </c>
      <c r="E286" s="37"/>
      <c r="F286" s="37"/>
      <c r="G286" s="37"/>
      <c r="H286" s="53"/>
      <c r="I286" s="544" t="str">
        <f>I247</f>
        <v>Angazhimet</v>
      </c>
      <c r="J286" s="1027" t="str">
        <f>J247</f>
        <v>Vlera Totale për Aktivitet</v>
      </c>
      <c r="K286" s="1028"/>
      <c r="L286" s="10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66">
        <f t="shared" si="160"/>
        <v>603</v>
      </c>
      <c r="C287" s="967">
        <f t="shared" si="160"/>
        <v>0</v>
      </c>
      <c r="D287" s="968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1027" t="str">
        <f>J248</f>
        <v>Shpenzimet kapitale</v>
      </c>
      <c r="K287" s="1028"/>
      <c r="L287" s="1029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66">
        <f t="shared" si="161"/>
        <v>604</v>
      </c>
      <c r="C288" s="967">
        <f t="shared" si="161"/>
        <v>0</v>
      </c>
      <c r="D288" s="968">
        <f t="shared" si="161"/>
        <v>0</v>
      </c>
      <c r="E288" s="37"/>
      <c r="F288" s="37"/>
      <c r="G288" s="37"/>
      <c r="H288" s="53"/>
      <c r="I288" s="315"/>
      <c r="J288" s="1027" t="str">
        <f>J249</f>
        <v>Mallra dhe shërbime</v>
      </c>
      <c r="K288" s="1028"/>
      <c r="L288" s="1029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66">
        <f t="shared" si="162"/>
        <v>605</v>
      </c>
      <c r="C289" s="967">
        <f t="shared" si="162"/>
        <v>0</v>
      </c>
      <c r="D289" s="968">
        <f t="shared" si="162"/>
        <v>0</v>
      </c>
      <c r="E289" s="37"/>
      <c r="F289" s="37"/>
      <c r="G289" s="37"/>
      <c r="H289" s="53"/>
      <c r="I289" s="315"/>
      <c r="J289" s="1027" t="str">
        <f>J250</f>
        <v>Qëllime të mëtejshme</v>
      </c>
      <c r="K289" s="1028"/>
      <c r="L289" s="1029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66">
        <f t="shared" si="163"/>
        <v>606</v>
      </c>
      <c r="C290" s="967">
        <f t="shared" si="163"/>
        <v>0</v>
      </c>
      <c r="D290" s="968">
        <f t="shared" si="163"/>
        <v>0</v>
      </c>
      <c r="E290" s="37"/>
      <c r="F290" s="37"/>
      <c r="G290" s="37"/>
      <c r="H290" s="53"/>
      <c r="I290" s="315"/>
      <c r="J290" s="1023"/>
      <c r="K290" s="1023"/>
      <c r="L290" s="1023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9" t="str">
        <f t="shared" ref="A291:D291" si="164">A135</f>
        <v>Shpenzimet kapitale</v>
      </c>
      <c r="B291" s="993" t="str">
        <f t="shared" si="164"/>
        <v>230 / 231</v>
      </c>
      <c r="C291" s="994">
        <f t="shared" si="164"/>
        <v>0</v>
      </c>
      <c r="D291" s="995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66">
        <f t="shared" si="165"/>
        <v>609</v>
      </c>
      <c r="C292" s="967">
        <f t="shared" si="165"/>
        <v>0</v>
      </c>
      <c r="D292" s="968">
        <f t="shared" si="165"/>
        <v>0</v>
      </c>
      <c r="E292" s="37"/>
      <c r="F292" s="37"/>
      <c r="G292" s="37"/>
      <c r="H292" s="53"/>
      <c r="I292" s="419">
        <f>M265</f>
        <v>2022</v>
      </c>
      <c r="J292" s="1008"/>
      <c r="K292" s="1009"/>
      <c r="L292" s="1009"/>
      <c r="M292" s="1009"/>
      <c r="N292" s="1009"/>
      <c r="O292" s="1010"/>
    </row>
    <row r="293" spans="1:15" ht="12.75" x14ac:dyDescent="0.2">
      <c r="A293" s="124" t="str">
        <f t="shared" ref="A293:D293" si="166">A137</f>
        <v>Interesa per kredi direkte ose bono</v>
      </c>
      <c r="B293" s="996">
        <f t="shared" si="166"/>
        <v>650</v>
      </c>
      <c r="C293" s="997">
        <f t="shared" si="166"/>
        <v>0</v>
      </c>
      <c r="D293" s="998">
        <f t="shared" si="166"/>
        <v>0</v>
      </c>
      <c r="E293" s="37"/>
      <c r="F293" s="37"/>
      <c r="G293" s="37"/>
      <c r="H293" s="53"/>
      <c r="I293" s="420"/>
      <c r="J293" s="1011"/>
      <c r="K293" s="1012"/>
      <c r="L293" s="1012"/>
      <c r="M293" s="1012"/>
      <c r="N293" s="1012"/>
      <c r="O293" s="1013"/>
    </row>
    <row r="294" spans="1:15" ht="12.75" x14ac:dyDescent="0.2">
      <c r="A294" s="544" t="str">
        <f>A138</f>
        <v>Të tjera</v>
      </c>
      <c r="B294" s="966" t="str">
        <f>B138</f>
        <v>69 / ?</v>
      </c>
      <c r="C294" s="967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2023</v>
      </c>
      <c r="J294" s="1008"/>
      <c r="K294" s="1009"/>
      <c r="L294" s="1009"/>
      <c r="M294" s="1009"/>
      <c r="N294" s="1009"/>
      <c r="O294" s="1010"/>
    </row>
    <row r="295" spans="1:15" ht="12.75" x14ac:dyDescent="0.2">
      <c r="A295" s="124" t="str">
        <f>A139</f>
        <v>SHPENZIME KORRENTE</v>
      </c>
      <c r="B295" s="999"/>
      <c r="C295" s="1000"/>
      <c r="D295" s="1001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1014"/>
      <c r="K295" s="1015"/>
      <c r="L295" s="1015"/>
      <c r="M295" s="1015"/>
      <c r="N295" s="1015"/>
      <c r="O295" s="1016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1008"/>
      <c r="K296" s="1009"/>
      <c r="L296" s="1009"/>
      <c r="M296" s="1009"/>
      <c r="N296" s="1009"/>
      <c r="O296" s="1010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1014"/>
      <c r="K297" s="1015"/>
      <c r="L297" s="1015"/>
      <c r="M297" s="1015"/>
      <c r="N297" s="1015"/>
      <c r="O297" s="1016"/>
    </row>
  </sheetData>
  <sheetProtection algorithmName="SHA-512" hashValue="VeNiU1R0ED8UMQdLhr+diEgbP9jAFFrh2ejLmgB0BCcVR6fzuuq4wJeFGZD9ChW3lRTWArHfzwm5xJto0CQXNQ==" saltValue="HvS3NPdNfWLz+8otF55jJw==" spinCount="100000"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zoomScaleNormal="100" workbookViewId="0">
      <selection activeCell="M190" sqref="M190:O1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3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Fjalori'!A65</f>
        <v>Nënfunksioni 2</v>
      </c>
      <c r="B2" s="860" t="str">
        <f>+VLOOKUP($A2,'(B2) Struktura Organizative'!$A7:$E68,2,FALSE)</f>
        <v>017 Shërbime të  huamarrjes vendore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Funksionale'!A15</f>
        <v>Programi 2a</v>
      </c>
      <c r="B6" s="940"/>
      <c r="C6" s="941" t="str">
        <f>VLOOKUP($A6,'(B3) Struktura Funksionale'!$A$7:$E$146,3,FALSE)</f>
        <v>Planifikimi i përgjithshëm dhe Shërbimet Statistikore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hidden="1" customHeight="1" x14ac:dyDescent="0.2">
      <c r="A7" s="939" t="str">
        <f>'(B3) Struktura Funksionale'!A16</f>
        <v>Programi 2b</v>
      </c>
      <c r="B7" s="940"/>
      <c r="C7" s="941" t="str">
        <f>VLOOKUP($A7,'(B3) Struktura Funksionale'!$A$7:$E$146,3,FALSE)</f>
        <v>Gjendja civile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Funksionale'!A17</f>
        <v>Programi 2c</v>
      </c>
      <c r="B8" s="940"/>
      <c r="C8" s="941" t="str">
        <f>VLOOKUP($A8,'(B3) Struktura Funksionale'!$A$7:$E$146,3,FALSE)</f>
        <v>Shërbime të tjera të përgjithshme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customHeight="1" x14ac:dyDescent="0.2">
      <c r="A9" s="939" t="str">
        <f>'(B3) Struktura Funksionale'!A18</f>
        <v>Programi 2d</v>
      </c>
      <c r="B9" s="940"/>
      <c r="C9" s="941" t="str">
        <f>VLOOKUP($A9,'(B3) Struktura Funksionale'!$A$7:$E$146,3,FALSE)</f>
        <v>Pagesa për shërbimin e borxhit të brendshëm</v>
      </c>
      <c r="D9" s="942"/>
      <c r="E9" s="942"/>
      <c r="F9" s="942"/>
      <c r="G9" s="942"/>
      <c r="H9" s="943"/>
      <c r="I9" s="941" t="str">
        <f>VLOOKUP($A9,'(B3) Struktura Funksionale'!$A$7:$E$146,4,FALSE)</f>
        <v>E detyrueshme</v>
      </c>
      <c r="J9" s="942"/>
      <c r="K9" s="943"/>
      <c r="L9" s="941" t="str">
        <f>VLOOKUP($A9,'(B3) Struktura Funksionale'!$A$7:$E$146,5,FALSE)</f>
        <v>I veti</v>
      </c>
      <c r="M9" s="942"/>
      <c r="N9" s="942"/>
      <c r="O9" s="943"/>
    </row>
    <row r="10" spans="1:15" ht="13.5" customHeight="1" x14ac:dyDescent="0.2">
      <c r="A10" s="939" t="str">
        <f>'(B3) Struktura Funksionale'!A19</f>
        <v>Programi 2e</v>
      </c>
      <c r="B10" s="940"/>
      <c r="C10" s="941">
        <f>VLOOKUP($A10,'(B3) Struktura Funksionale'!$A$7:$E$146,3,FALSE)</f>
        <v>0</v>
      </c>
      <c r="D10" s="942"/>
      <c r="E10" s="942"/>
      <c r="F10" s="942"/>
      <c r="G10" s="942"/>
      <c r="H10" s="943"/>
      <c r="I10" s="941">
        <f>VLOOKUP($A10,'(B3) Struktura Funksionale'!$A$7:$E$146,4,FALSE)</f>
        <v>0</v>
      </c>
      <c r="J10" s="942"/>
      <c r="K10" s="943"/>
      <c r="L10" s="941">
        <f>VLOOKUP($A10,'(B3) Struktura Funksionale'!$A$7:$E$146,5,FALSE)</f>
        <v>0</v>
      </c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</v>
      </c>
      <c r="B14" s="962" t="str">
        <f>B$2</f>
        <v>017 Shërbime të  huamarrjes vendore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62" t="str">
        <f t="shared" si="20"/>
        <v>017 Shërbime të  huamarrjes vendore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hidden="1" customHeight="1" x14ac:dyDescent="0.2">
      <c r="A67" s="276" t="str">
        <f>A6</f>
        <v>Programi 2a</v>
      </c>
      <c r="B67" s="962" t="str">
        <f>C6</f>
        <v>Planifikimi i përgjithshëm dhe Shërbimet Statistikore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hidden="1" customHeight="1" x14ac:dyDescent="0.2">
      <c r="A68" s="647" t="str">
        <f>'(B3) Struktura Funksionale'!B15</f>
        <v>01310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hidden="1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hidden="1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hidden="1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hidden="1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hidden="1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hidden="1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62" t="str">
        <f t="shared" si="36"/>
        <v>017 Shërbime të  huamarrjes vendore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2b</v>
      </c>
      <c r="B106" s="962" t="str">
        <f>C7</f>
        <v>Gjendja civile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Funksionale'!B16</f>
        <v>01312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8" t="str">
        <f t="shared" ref="A108:G108" si="37">A69</f>
        <v>SHPENZIME TË PRITSHME</v>
      </c>
      <c r="B108" s="959">
        <f t="shared" si="37"/>
        <v>0</v>
      </c>
      <c r="C108" s="959">
        <f t="shared" si="37"/>
        <v>0</v>
      </c>
      <c r="D108" s="959">
        <f t="shared" si="37"/>
        <v>0</v>
      </c>
      <c r="E108" s="959">
        <f t="shared" si="37"/>
        <v>0</v>
      </c>
      <c r="F108" s="959">
        <f t="shared" si="37"/>
        <v>0</v>
      </c>
      <c r="G108" s="979">
        <f t="shared" si="37"/>
        <v>0</v>
      </c>
      <c r="H108" s="131"/>
      <c r="I108" s="980" t="str">
        <f t="shared" ref="I108:O108" si="38">I69</f>
        <v xml:space="preserve">TË ARDHURAT E PRITSHME </v>
      </c>
      <c r="J108" s="959">
        <f t="shared" si="38"/>
        <v>0</v>
      </c>
      <c r="K108" s="959">
        <f t="shared" si="38"/>
        <v>0</v>
      </c>
      <c r="L108" s="959">
        <f t="shared" si="38"/>
        <v>0</v>
      </c>
      <c r="M108" s="959">
        <f t="shared" si="38"/>
        <v>0</v>
      </c>
      <c r="N108" s="959">
        <f t="shared" si="38"/>
        <v>0</v>
      </c>
      <c r="O108" s="97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37"/>
      <c r="F125" s="37"/>
      <c r="G125" s="37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62" t="str">
        <f t="shared" si="53"/>
        <v>017 Shërbime të  huamarrjes vendore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hidden="1" customHeight="1" x14ac:dyDescent="0.2">
      <c r="A145" s="276" t="str">
        <f>A8</f>
        <v>Programi 2c</v>
      </c>
      <c r="B145" s="962" t="str">
        <f>C8</f>
        <v>Shërbime të tjera të përgjithshme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hidden="1" customHeight="1" x14ac:dyDescent="0.2">
      <c r="A146" s="647" t="str">
        <f>'(B3) Struktura Funksionale'!B17</f>
        <v>01320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hidden="1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hidden="1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hidden="1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hidden="1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hidden="1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hidden="1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62" t="str">
        <f t="shared" si="70"/>
        <v>017 Shërbime të  huamarrjes vendore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x14ac:dyDescent="0.2">
      <c r="A184" s="276" t="str">
        <f>A9</f>
        <v>Programi 2d</v>
      </c>
      <c r="B184" s="962" t="str">
        <f>C9</f>
        <v>Pagesa për shërbimin e borxhit të brendshëm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647" t="str">
        <f>'(B3) Struktura Funksionale'!B18</f>
        <v>01710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129"/>
      <c r="F203" s="129"/>
      <c r="G203" s="129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customHeight="1" x14ac:dyDescent="0.2">
      <c r="A222" s="213" t="str">
        <f t="shared" ref="A222:O222" si="87">A105</f>
        <v>Nënfunksioni 2</v>
      </c>
      <c r="B222" s="962" t="str">
        <f t="shared" si="87"/>
        <v>017 Shërbime të  huamarrjes vendore</v>
      </c>
      <c r="C222" s="962">
        <f t="shared" si="87"/>
        <v>0</v>
      </c>
      <c r="D222" s="962">
        <f t="shared" si="87"/>
        <v>0</v>
      </c>
      <c r="E222" s="962">
        <f t="shared" si="87"/>
        <v>0</v>
      </c>
      <c r="F222" s="962">
        <f t="shared" si="87"/>
        <v>0</v>
      </c>
      <c r="G222" s="962">
        <f t="shared" si="87"/>
        <v>0</v>
      </c>
      <c r="H222" s="962">
        <f t="shared" si="87"/>
        <v>0</v>
      </c>
      <c r="I222" s="962">
        <f t="shared" si="87"/>
        <v>0</v>
      </c>
      <c r="J222" s="962">
        <f t="shared" si="87"/>
        <v>0</v>
      </c>
      <c r="K222" s="962">
        <f t="shared" si="87"/>
        <v>0</v>
      </c>
      <c r="L222" s="962">
        <f t="shared" si="87"/>
        <v>0</v>
      </c>
      <c r="M222" s="962">
        <f t="shared" si="87"/>
        <v>0</v>
      </c>
      <c r="N222" s="962">
        <f t="shared" si="87"/>
        <v>0</v>
      </c>
      <c r="O222" s="962">
        <f t="shared" si="87"/>
        <v>0</v>
      </c>
    </row>
    <row r="223" spans="1:15" ht="17.25" customHeight="1" x14ac:dyDescent="0.2">
      <c r="A223" s="276" t="str">
        <f>A10</f>
        <v>Programi 2e</v>
      </c>
      <c r="B223" s="962">
        <f>C10</f>
        <v>0</v>
      </c>
      <c r="C223" s="962" t="e">
        <f>#REF!</f>
        <v>#REF!</v>
      </c>
      <c r="D223" s="962" t="e">
        <f>#REF!</f>
        <v>#REF!</v>
      </c>
      <c r="E223" s="962" t="e">
        <f>#REF!</f>
        <v>#REF!</v>
      </c>
      <c r="F223" s="962" t="e">
        <f>#REF!</f>
        <v>#REF!</v>
      </c>
      <c r="G223" s="962" t="e">
        <f>#REF!</f>
        <v>#REF!</v>
      </c>
      <c r="H223" s="962" t="e">
        <f>#REF!</f>
        <v>#REF!</v>
      </c>
      <c r="I223" s="962" t="e">
        <f>#REF!</f>
        <v>#REF!</v>
      </c>
      <c r="J223" s="962" t="e">
        <f>#REF!</f>
        <v>#REF!</v>
      </c>
      <c r="K223" s="962" t="e">
        <f>#REF!</f>
        <v>#REF!</v>
      </c>
      <c r="L223" s="962" t="e">
        <f>#REF!</f>
        <v>#REF!</v>
      </c>
      <c r="M223" s="962" t="e">
        <f>#REF!</f>
        <v>#REF!</v>
      </c>
      <c r="N223" s="962" t="e">
        <f>#REF!</f>
        <v>#REF!</v>
      </c>
      <c r="O223" s="962" t="e">
        <f>#REF!</f>
        <v>#REF!</v>
      </c>
    </row>
    <row r="224" spans="1:15" ht="17.25" customHeight="1" x14ac:dyDescent="0.2">
      <c r="A224" s="647">
        <f>'(B3) Struktura Funksionale'!B19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9" t="str">
        <f t="shared" ref="A225:G225" si="88">A108</f>
        <v>SHPENZIME TË PRITSHME</v>
      </c>
      <c r="B225" s="990">
        <f t="shared" si="88"/>
        <v>0</v>
      </c>
      <c r="C225" s="990">
        <f t="shared" si="88"/>
        <v>0</v>
      </c>
      <c r="D225" s="990">
        <f t="shared" si="88"/>
        <v>0</v>
      </c>
      <c r="E225" s="990">
        <f t="shared" si="88"/>
        <v>0</v>
      </c>
      <c r="F225" s="990">
        <f t="shared" si="88"/>
        <v>0</v>
      </c>
      <c r="G225" s="991">
        <f t="shared" si="88"/>
        <v>0</v>
      </c>
      <c r="H225" s="131"/>
      <c r="I225" s="992" t="str">
        <f t="shared" ref="I225:O225" si="89">I108</f>
        <v xml:space="preserve">TË ARDHURAT E PRITSHME </v>
      </c>
      <c r="J225" s="990">
        <f t="shared" si="89"/>
        <v>0</v>
      </c>
      <c r="K225" s="990">
        <f t="shared" si="89"/>
        <v>0</v>
      </c>
      <c r="L225" s="990">
        <f t="shared" si="89"/>
        <v>0</v>
      </c>
      <c r="M225" s="990">
        <f t="shared" si="89"/>
        <v>0</v>
      </c>
      <c r="N225" s="990">
        <f t="shared" si="89"/>
        <v>0</v>
      </c>
      <c r="O225" s="991">
        <f t="shared" si="89"/>
        <v>0</v>
      </c>
    </row>
    <row r="226" spans="1:15" ht="18.75" customHeight="1" x14ac:dyDescent="0.2">
      <c r="A226" s="211"/>
      <c r="B226" s="417">
        <f t="shared" ref="B226:G226" si="90">B109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J109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3.1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87"/>
      <c r="K227" s="987"/>
      <c r="L227" s="429"/>
      <c r="M227" s="429"/>
      <c r="N227" s="429"/>
      <c r="O227" s="430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63" t="str">
        <f t="shared" ref="I228:O228" si="92">I111</f>
        <v>VLERËSIM I ARDHURAVE NGA TARIFAT</v>
      </c>
      <c r="J228" s="964">
        <f t="shared" si="92"/>
        <v>0</v>
      </c>
      <c r="K228" s="964">
        <f t="shared" si="92"/>
        <v>0</v>
      </c>
      <c r="L228" s="964">
        <f t="shared" si="92"/>
        <v>0</v>
      </c>
      <c r="M228" s="964">
        <f t="shared" si="92"/>
        <v>0</v>
      </c>
      <c r="N228" s="964">
        <f t="shared" si="92"/>
        <v>0</v>
      </c>
      <c r="O228" s="965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69" t="str">
        <f t="shared" ref="A230:G230" si="93">A113</f>
        <v>SHPENZIME TË PRITSHME</v>
      </c>
      <c r="B230" s="970">
        <f t="shared" si="93"/>
        <v>0</v>
      </c>
      <c r="C230" s="970">
        <f t="shared" si="93"/>
        <v>0</v>
      </c>
      <c r="D230" s="970">
        <f t="shared" si="93"/>
        <v>0</v>
      </c>
      <c r="E230" s="970">
        <f t="shared" si="93"/>
        <v>0</v>
      </c>
      <c r="F230" s="970">
        <f t="shared" si="93"/>
        <v>0</v>
      </c>
      <c r="G230" s="971">
        <f t="shared" si="93"/>
        <v>0</v>
      </c>
      <c r="H230" s="10"/>
    </row>
    <row r="231" spans="1:15" ht="13.15" customHeight="1" x14ac:dyDescent="0.2">
      <c r="A231" s="963" t="str">
        <f t="shared" ref="A231:G231" si="94">A114</f>
        <v>KOSTO DIREKTE PËR PROJEKTET DHE SHPENZIMET KAPITALE</v>
      </c>
      <c r="B231" s="964">
        <f t="shared" si="94"/>
        <v>0</v>
      </c>
      <c r="C231" s="964">
        <f t="shared" si="94"/>
        <v>0</v>
      </c>
      <c r="D231" s="964">
        <f t="shared" si="94"/>
        <v>0</v>
      </c>
      <c r="E231" s="964">
        <f t="shared" si="94"/>
        <v>0</v>
      </c>
      <c r="F231" s="964">
        <f t="shared" si="94"/>
        <v>0</v>
      </c>
      <c r="G231" s="965">
        <f t="shared" si="94"/>
        <v>0</v>
      </c>
      <c r="H231" s="31"/>
      <c r="I231" s="963" t="str">
        <f t="shared" ref="I231:I236" si="95">I114</f>
        <v>VLERËSIMI I TË ARDHURAVE ME DESTINACION</v>
      </c>
      <c r="J231" s="964"/>
      <c r="K231" s="964"/>
      <c r="L231" s="964"/>
      <c r="M231" s="964"/>
      <c r="N231" s="964"/>
      <c r="O231" s="965"/>
    </row>
    <row r="232" spans="1:15" ht="13.15" customHeight="1" x14ac:dyDescent="0.2">
      <c r="A232" s="124" t="str">
        <f t="shared" ref="A232:D232" si="96">A115</f>
        <v>Pagat</v>
      </c>
      <c r="B232" s="966">
        <f t="shared" si="96"/>
        <v>600</v>
      </c>
      <c r="C232" s="967">
        <f t="shared" si="96"/>
        <v>0</v>
      </c>
      <c r="D232" s="968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66">
        <f t="shared" si="97"/>
        <v>601</v>
      </c>
      <c r="C233" s="967">
        <f t="shared" si="97"/>
        <v>0</v>
      </c>
      <c r="D233" s="968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66">
        <f t="shared" si="98"/>
        <v>602</v>
      </c>
      <c r="C234" s="967">
        <f t="shared" si="98"/>
        <v>0</v>
      </c>
      <c r="D234" s="968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48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66">
        <f t="shared" si="99"/>
        <v>603</v>
      </c>
      <c r="C235" s="967">
        <f t="shared" si="99"/>
        <v>0</v>
      </c>
      <c r="D235" s="968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66">
        <f t="shared" si="100"/>
        <v>604</v>
      </c>
      <c r="C236" s="967">
        <f t="shared" si="100"/>
        <v>0</v>
      </c>
      <c r="D236" s="968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66">
        <f t="shared" si="102"/>
        <v>605</v>
      </c>
      <c r="C237" s="967">
        <f t="shared" si="102"/>
        <v>0</v>
      </c>
      <c r="D237" s="968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66">
        <f t="shared" si="103"/>
        <v>606</v>
      </c>
      <c r="C238" s="967">
        <f t="shared" si="103"/>
        <v>0</v>
      </c>
      <c r="D238" s="968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66" t="str">
        <f t="shared" si="104"/>
        <v>230 / 231</v>
      </c>
      <c r="C239" s="967">
        <f t="shared" si="104"/>
        <v>0</v>
      </c>
      <c r="D239" s="968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66">
        <f t="shared" si="105"/>
        <v>609</v>
      </c>
      <c r="C240" s="967">
        <f t="shared" si="105"/>
        <v>0</v>
      </c>
      <c r="D240" s="968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66">
        <f t="shared" si="106"/>
        <v>650</v>
      </c>
      <c r="C241" s="967">
        <f t="shared" si="106"/>
        <v>0</v>
      </c>
      <c r="D241" s="968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66" t="str">
        <f t="shared" si="107"/>
        <v>69 / ?</v>
      </c>
      <c r="C242" s="967">
        <f t="shared" si="107"/>
        <v>0</v>
      </c>
      <c r="D242" s="968">
        <f t="shared" si="107"/>
        <v>0</v>
      </c>
      <c r="E242" s="129"/>
      <c r="F242" s="129"/>
      <c r="G242" s="129"/>
      <c r="H242" s="53"/>
      <c r="I242" s="972" t="str">
        <f t="shared" ref="I242:O242" si="108">I125</f>
        <v>SHUMA E KËRKUAR NETO</v>
      </c>
      <c r="J242" s="973">
        <f t="shared" si="108"/>
        <v>0</v>
      </c>
      <c r="K242" s="973">
        <f t="shared" si="108"/>
        <v>0</v>
      </c>
      <c r="L242" s="973">
        <f t="shared" si="108"/>
        <v>0</v>
      </c>
      <c r="M242" s="973">
        <f t="shared" si="108"/>
        <v>0</v>
      </c>
      <c r="N242" s="973">
        <f t="shared" si="108"/>
        <v>0</v>
      </c>
      <c r="O242" s="974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66">
        <f t="shared" si="109"/>
        <v>0</v>
      </c>
      <c r="C243" s="967">
        <f t="shared" si="109"/>
        <v>0</v>
      </c>
      <c r="D243" s="968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75">
        <f t="shared" ref="I243:O243" si="111">I126</f>
        <v>0</v>
      </c>
      <c r="J243" s="976">
        <f t="shared" si="111"/>
        <v>0</v>
      </c>
      <c r="K243" s="976">
        <f t="shared" si="111"/>
        <v>0</v>
      </c>
      <c r="L243" s="976">
        <f t="shared" si="111"/>
        <v>0</v>
      </c>
      <c r="M243" s="976">
        <f t="shared" si="111"/>
        <v>0</v>
      </c>
      <c r="N243" s="976">
        <f t="shared" si="111"/>
        <v>0</v>
      </c>
      <c r="O243" s="977">
        <f t="shared" si="111"/>
        <v>0</v>
      </c>
    </row>
    <row r="244" spans="1:15" ht="13.15" customHeight="1" x14ac:dyDescent="0.2">
      <c r="A244" s="963" t="str">
        <f t="shared" ref="A244:D244" si="112">A127</f>
        <v>SHPENZIME KORRENTE</v>
      </c>
      <c r="B244" s="964">
        <f t="shared" si="112"/>
        <v>0</v>
      </c>
      <c r="C244" s="964">
        <f t="shared" si="112"/>
        <v>0</v>
      </c>
      <c r="D244" s="964">
        <f t="shared" si="112"/>
        <v>0</v>
      </c>
      <c r="E244" s="964">
        <f>E127</f>
        <v>0</v>
      </c>
      <c r="F244" s="964">
        <f>F127</f>
        <v>0</v>
      </c>
      <c r="G244" s="965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66">
        <f t="shared" si="119"/>
        <v>600</v>
      </c>
      <c r="C245" s="967">
        <f t="shared" si="119"/>
        <v>0</v>
      </c>
      <c r="D245" s="968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66">
        <f t="shared" si="120"/>
        <v>601</v>
      </c>
      <c r="C246" s="967">
        <f t="shared" si="120"/>
        <v>0</v>
      </c>
      <c r="D246" s="968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66">
        <f t="shared" si="121"/>
        <v>602</v>
      </c>
      <c r="C247" s="967">
        <f t="shared" si="121"/>
        <v>0</v>
      </c>
      <c r="D247" s="968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1027" t="str">
        <f>J208</f>
        <v>Vlera Totale për Aktivitet</v>
      </c>
      <c r="K247" s="1028"/>
      <c r="L247" s="10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66">
        <f t="shared" si="122"/>
        <v>603</v>
      </c>
      <c r="C248" s="967">
        <f t="shared" si="122"/>
        <v>0</v>
      </c>
      <c r="D248" s="968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1027" t="str">
        <f>J209</f>
        <v>Shpenzimet kapitale</v>
      </c>
      <c r="K248" s="1028"/>
      <c r="L248" s="1029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66">
        <f t="shared" si="123"/>
        <v>604</v>
      </c>
      <c r="C249" s="967">
        <f t="shared" si="123"/>
        <v>0</v>
      </c>
      <c r="D249" s="968">
        <f t="shared" si="123"/>
        <v>0</v>
      </c>
      <c r="E249" s="37"/>
      <c r="F249" s="37"/>
      <c r="G249" s="37"/>
      <c r="H249" s="53"/>
      <c r="I249" s="315"/>
      <c r="J249" s="1027" t="str">
        <f>J210</f>
        <v>Mallra dhe shërbime</v>
      </c>
      <c r="K249" s="1028"/>
      <c r="L249" s="1029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66">
        <f t="shared" si="124"/>
        <v>605</v>
      </c>
      <c r="C250" s="967">
        <f t="shared" si="124"/>
        <v>0</v>
      </c>
      <c r="D250" s="968">
        <f t="shared" si="124"/>
        <v>0</v>
      </c>
      <c r="E250" s="37"/>
      <c r="F250" s="37"/>
      <c r="G250" s="37"/>
      <c r="H250" s="53"/>
      <c r="I250" s="315"/>
      <c r="J250" s="1027" t="str">
        <f>J211</f>
        <v>Qëllime të mëtejshme</v>
      </c>
      <c r="K250" s="1028"/>
      <c r="L250" s="1029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66">
        <f t="shared" si="125"/>
        <v>606</v>
      </c>
      <c r="C251" s="967">
        <f t="shared" si="125"/>
        <v>0</v>
      </c>
      <c r="D251" s="968">
        <f t="shared" si="125"/>
        <v>0</v>
      </c>
      <c r="E251" s="37"/>
      <c r="F251" s="37"/>
      <c r="G251" s="37"/>
      <c r="H251" s="53"/>
      <c r="I251" s="315"/>
      <c r="J251" s="1023"/>
      <c r="K251" s="1023"/>
      <c r="L251" s="1023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49" t="str">
        <f t="shared" ref="A252:D252" si="126">A135</f>
        <v>Shpenzimet kapitale</v>
      </c>
      <c r="B252" s="993" t="str">
        <f t="shared" si="126"/>
        <v>230 / 231</v>
      </c>
      <c r="C252" s="994">
        <f t="shared" si="126"/>
        <v>0</v>
      </c>
      <c r="D252" s="995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66">
        <f t="shared" si="127"/>
        <v>609</v>
      </c>
      <c r="C253" s="967">
        <f t="shared" si="127"/>
        <v>0</v>
      </c>
      <c r="D253" s="968">
        <f t="shared" si="127"/>
        <v>0</v>
      </c>
      <c r="E253" s="37"/>
      <c r="F253" s="37"/>
      <c r="G253" s="37"/>
      <c r="H253" s="53"/>
      <c r="I253" s="419">
        <f>M226</f>
        <v>2022</v>
      </c>
      <c r="J253" s="1008"/>
      <c r="K253" s="1009"/>
      <c r="L253" s="1009"/>
      <c r="M253" s="1009"/>
      <c r="N253" s="1009"/>
      <c r="O253" s="1010"/>
    </row>
    <row r="254" spans="1:15" ht="13.15" customHeight="1" x14ac:dyDescent="0.2">
      <c r="A254" s="124" t="str">
        <f t="shared" ref="A254:D254" si="128">A137</f>
        <v>Interesa per kredi direkte ose bono</v>
      </c>
      <c r="B254" s="996">
        <f t="shared" si="128"/>
        <v>650</v>
      </c>
      <c r="C254" s="997">
        <f t="shared" si="128"/>
        <v>0</v>
      </c>
      <c r="D254" s="998">
        <f t="shared" si="128"/>
        <v>0</v>
      </c>
      <c r="E254" s="37"/>
      <c r="F254" s="37"/>
      <c r="G254" s="37"/>
      <c r="H254" s="53"/>
      <c r="I254" s="420"/>
      <c r="J254" s="1011"/>
      <c r="K254" s="1012"/>
      <c r="L254" s="1012"/>
      <c r="M254" s="1012"/>
      <c r="N254" s="1012"/>
      <c r="O254" s="1013"/>
    </row>
    <row r="255" spans="1:15" ht="13.15" customHeight="1" x14ac:dyDescent="0.2">
      <c r="A255" s="524" t="str">
        <f>A138</f>
        <v>Të tjera</v>
      </c>
      <c r="B255" s="966" t="str">
        <f>B138</f>
        <v>69 / ?</v>
      </c>
      <c r="C255" s="967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2023</v>
      </c>
      <c r="J255" s="1008"/>
      <c r="K255" s="1009"/>
      <c r="L255" s="1009"/>
      <c r="M255" s="1009"/>
      <c r="N255" s="1009"/>
      <c r="O255" s="1010"/>
    </row>
    <row r="256" spans="1:15" ht="13.15" customHeight="1" x14ac:dyDescent="0.2">
      <c r="A256" s="124" t="str">
        <f>A139</f>
        <v>SHPENZIME KORRENTE</v>
      </c>
      <c r="B256" s="999"/>
      <c r="C256" s="1000"/>
      <c r="D256" s="1001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1014"/>
      <c r="K256" s="1015"/>
      <c r="L256" s="1015"/>
      <c r="M256" s="1015"/>
      <c r="N256" s="1015"/>
      <c r="O256" s="1016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1008"/>
      <c r="K257" s="1009"/>
      <c r="L257" s="1009"/>
      <c r="M257" s="1009"/>
      <c r="N257" s="1009"/>
      <c r="O257" s="1010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1014"/>
      <c r="K258" s="1015"/>
      <c r="L258" s="1015"/>
      <c r="M258" s="1015"/>
      <c r="N258" s="1015"/>
      <c r="O258" s="1016"/>
    </row>
    <row r="261" spans="1:15" ht="17.25" hidden="1" customHeight="1" x14ac:dyDescent="0.2">
      <c r="A261" s="213"/>
      <c r="B261" s="962"/>
      <c r="C261" s="962"/>
      <c r="D261" s="962"/>
      <c r="E261" s="962"/>
      <c r="F261" s="962"/>
      <c r="G261" s="962"/>
      <c r="H261" s="962"/>
      <c r="I261" s="962"/>
      <c r="J261" s="962"/>
      <c r="K261" s="962"/>
      <c r="L261" s="962"/>
      <c r="M261" s="962"/>
      <c r="N261" s="962"/>
      <c r="O261" s="962"/>
    </row>
    <row r="262" spans="1:15" ht="17.25" hidden="1" customHeight="1" x14ac:dyDescent="0.2">
      <c r="A262" s="276"/>
      <c r="B262" s="962"/>
      <c r="C262" s="962"/>
      <c r="D262" s="962"/>
      <c r="E262" s="962"/>
      <c r="F262" s="962"/>
      <c r="G262" s="962"/>
      <c r="H262" s="962"/>
      <c r="I262" s="962"/>
      <c r="J262" s="962"/>
      <c r="K262" s="962"/>
      <c r="L262" s="962"/>
      <c r="M262" s="962"/>
      <c r="N262" s="962"/>
      <c r="O262" s="962"/>
    </row>
    <row r="263" spans="1:15" ht="22.5" hidden="1" customHeight="1" x14ac:dyDescent="0.2">
      <c r="A263" s="958"/>
      <c r="B263" s="959"/>
      <c r="C263" s="959"/>
      <c r="D263" s="959"/>
      <c r="E263" s="959"/>
      <c r="F263" s="959"/>
      <c r="G263" s="979"/>
      <c r="H263" s="131"/>
      <c r="I263" s="980"/>
      <c r="J263" s="959"/>
      <c r="K263" s="959"/>
      <c r="L263" s="959"/>
      <c r="M263" s="959"/>
      <c r="N263" s="959"/>
      <c r="O263" s="979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63"/>
      <c r="J266" s="964"/>
      <c r="K266" s="964"/>
      <c r="L266" s="964"/>
      <c r="M266" s="964"/>
      <c r="N266" s="964"/>
      <c r="O266" s="965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30"/>
      <c r="B268" s="1031"/>
      <c r="C268" s="1031"/>
      <c r="D268" s="1031"/>
      <c r="E268" s="1031"/>
      <c r="F268" s="1031"/>
      <c r="G268" s="1032"/>
      <c r="H268" s="10"/>
    </row>
    <row r="269" spans="1:15" ht="12.75" hidden="1" x14ac:dyDescent="0.2">
      <c r="A269" s="963"/>
      <c r="B269" s="964"/>
      <c r="C269" s="964"/>
      <c r="D269" s="964"/>
      <c r="E269" s="964"/>
      <c r="F269" s="964"/>
      <c r="G269" s="965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87"/>
      <c r="K272" s="389"/>
      <c r="L272" s="388"/>
      <c r="M272" s="302"/>
      <c r="N272" s="548"/>
      <c r="O272" s="548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</row>
    <row r="279" spans="1:15" ht="12.75" hidden="1" x14ac:dyDescent="0.2">
      <c r="A279" s="124"/>
      <c r="B279" s="966"/>
      <c r="C279" s="967"/>
      <c r="D279" s="968"/>
      <c r="E279" s="37"/>
      <c r="F279" s="37"/>
      <c r="G279" s="37"/>
      <c r="H279" s="53"/>
    </row>
    <row r="280" spans="1:15" ht="12.75" hidden="1" x14ac:dyDescent="0.2">
      <c r="A280" s="124"/>
      <c r="B280" s="966"/>
      <c r="C280" s="967"/>
      <c r="D280" s="968"/>
      <c r="E280" s="37"/>
      <c r="F280" s="37"/>
      <c r="G280" s="37"/>
      <c r="H280" s="53"/>
      <c r="I280" s="972"/>
      <c r="J280" s="973"/>
      <c r="K280" s="973"/>
      <c r="L280" s="973"/>
      <c r="M280" s="973"/>
      <c r="N280" s="973"/>
      <c r="O280" s="974"/>
    </row>
    <row r="281" spans="1:15" ht="12.75" hidden="1" customHeight="1" x14ac:dyDescent="0.2">
      <c r="A281" s="306"/>
      <c r="B281" s="966"/>
      <c r="C281" s="967"/>
      <c r="D281" s="968"/>
      <c r="E281" s="129"/>
      <c r="F281" s="129"/>
      <c r="G281" s="129"/>
      <c r="H281" s="53"/>
      <c r="I281" s="975"/>
      <c r="J281" s="976"/>
      <c r="K281" s="976"/>
      <c r="L281" s="976"/>
      <c r="M281" s="976"/>
      <c r="N281" s="976"/>
      <c r="O281" s="977"/>
    </row>
    <row r="282" spans="1:15" ht="12.75" hidden="1" x14ac:dyDescent="0.2">
      <c r="A282" s="963"/>
      <c r="B282" s="964"/>
      <c r="C282" s="964"/>
      <c r="D282" s="964"/>
      <c r="E282" s="964"/>
      <c r="F282" s="964"/>
      <c r="G282" s="965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252"/>
      <c r="J285" s="1034"/>
      <c r="K285" s="1035"/>
      <c r="L285" s="1036"/>
      <c r="M285" s="129"/>
      <c r="N285" s="129"/>
      <c r="O285" s="129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8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34"/>
      <c r="K287" s="1035"/>
      <c r="L287" s="1036"/>
      <c r="M287" s="128"/>
      <c r="N287" s="128"/>
      <c r="O287" s="132"/>
    </row>
    <row r="288" spans="1:15" ht="12.75" hidden="1" x14ac:dyDescent="0.2">
      <c r="A288" s="124"/>
      <c r="B288" s="966"/>
      <c r="C288" s="967"/>
      <c r="D288" s="968"/>
      <c r="E288" s="37"/>
      <c r="F288" s="37"/>
      <c r="G288" s="37"/>
      <c r="H288" s="53"/>
      <c r="I288" s="315"/>
      <c r="J288" s="1034"/>
      <c r="K288" s="1035"/>
      <c r="L288" s="1036"/>
      <c r="M288" s="128"/>
      <c r="N288" s="128"/>
      <c r="O288" s="132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315"/>
      <c r="J289" s="1023"/>
      <c r="K289" s="1023"/>
      <c r="L289" s="1023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66"/>
      <c r="C290" s="967"/>
      <c r="D290" s="968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66"/>
      <c r="C291" s="967"/>
      <c r="D291" s="968"/>
      <c r="E291" s="37"/>
      <c r="F291" s="37"/>
      <c r="G291" s="37"/>
      <c r="H291" s="53"/>
      <c r="I291" s="419">
        <f>M264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6"/>
      <c r="C292" s="997"/>
      <c r="D292" s="998"/>
      <c r="E292" s="37"/>
      <c r="F292" s="37"/>
      <c r="G292" s="37"/>
      <c r="H292" s="53"/>
      <c r="I292" s="420"/>
      <c r="J292" s="1011"/>
      <c r="K292" s="1012"/>
      <c r="L292" s="1012"/>
      <c r="M292" s="1012"/>
      <c r="N292" s="1012"/>
      <c r="O292" s="1013"/>
    </row>
    <row r="293" spans="1:15" ht="12.75" hidden="1" x14ac:dyDescent="0.2">
      <c r="A293" s="252"/>
      <c r="B293" s="966"/>
      <c r="C293" s="967"/>
      <c r="D293" s="311"/>
      <c r="E293" s="308"/>
      <c r="F293" s="308"/>
      <c r="G293" s="308"/>
      <c r="H293" s="53"/>
      <c r="I293" s="419">
        <f>N264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24"/>
      <c r="B294" s="999"/>
      <c r="C294" s="1000"/>
      <c r="D294" s="1001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1008"/>
      <c r="K295" s="1009"/>
      <c r="L295" s="1009"/>
      <c r="M295" s="1009"/>
      <c r="N295" s="1009"/>
      <c r="O295" s="1010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1014"/>
      <c r="K296" s="1015"/>
      <c r="L296" s="1015"/>
      <c r="M296" s="1015"/>
      <c r="N296" s="1015"/>
      <c r="O296" s="1016"/>
    </row>
  </sheetData>
  <sheetProtection algorithmName="SHA-512" hashValue="wDT7mFJ8KHdmNcTj1pNv3e2GZ2YMh7T7LowOWmYmV0hrgG73K8rGAgJ6t1gA1hqobV58ehgP5s9HTWMK2OTySA==" saltValue="TxuDFyzIn4BBCeu3TZRChQ==" spinCount="100000"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78" zoomScaleNormal="100" workbookViewId="0">
      <selection activeCell="E89" sqref="E89:E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Fjalori'!A66</f>
        <v>Nënfunksioni 3</v>
      </c>
      <c r="B2" s="860" t="str">
        <f>+VLOOKUP($A2,'(B2) Struktura Organizative'!$A7:$E68,2,FALSE)</f>
        <v>031 Shërbimet Policore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50" t="str">
        <f>'(B3) Struktura Funksionale'!C5</f>
        <v>Emri i programit</v>
      </c>
      <c r="D5" s="952"/>
      <c r="E5" s="952"/>
      <c r="F5" s="952"/>
      <c r="G5" s="952"/>
      <c r="H5" s="951"/>
      <c r="I5" s="950" t="str">
        <f>'(B3) Struktura Funksionale'!D5</f>
        <v>Programi:  detyrueshme / shtesë</v>
      </c>
      <c r="J5" s="952"/>
      <c r="K5" s="951"/>
      <c r="L5" s="1037" t="str">
        <f>'(B3) Struktura Funksionale'!E5</f>
        <v>Programi: I veti / I deleguar / Transferuar</v>
      </c>
      <c r="M5" s="1037"/>
      <c r="N5" s="1037"/>
      <c r="O5" s="1037"/>
    </row>
    <row r="6" spans="1:15" ht="13.5" customHeight="1" x14ac:dyDescent="0.2">
      <c r="A6" s="939" t="str">
        <f>'(B3) Struktura Funksionale'!A22</f>
        <v>Programi 3a</v>
      </c>
      <c r="B6" s="940"/>
      <c r="C6" s="941" t="str">
        <f>VLOOKUP($A6,'(B3) Struktura Funksionale'!$A$7:$E$146,3,FALSE)</f>
        <v>Shërbimet e Policisë Vendore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Funksionale'!A23</f>
        <v>Programi 3b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Funksionale'!A24</f>
        <v>Programi 3c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3</v>
      </c>
      <c r="B14" s="962" t="str">
        <f>B$2</f>
        <v>031 Shërbimet Policore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7670</v>
      </c>
      <c r="F18" s="129">
        <f t="shared" si="1"/>
        <v>7670</v>
      </c>
      <c r="G18" s="129">
        <f t="shared" si="1"/>
        <v>7670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7670</v>
      </c>
      <c r="N34" s="18">
        <f t="shared" si="6"/>
        <v>7670</v>
      </c>
      <c r="O34" s="18">
        <f t="shared" si="6"/>
        <v>7670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6529</v>
      </c>
      <c r="F35" s="305">
        <f t="shared" si="7"/>
        <v>6529</v>
      </c>
      <c r="G35" s="305">
        <f t="shared" si="7"/>
        <v>6529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1091</v>
      </c>
      <c r="F36" s="305">
        <f t="shared" si="7"/>
        <v>1091</v>
      </c>
      <c r="G36" s="305">
        <f t="shared" si="7"/>
        <v>1091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50</v>
      </c>
      <c r="F37" s="305">
        <f t="shared" si="7"/>
        <v>50</v>
      </c>
      <c r="G37" s="305">
        <f t="shared" si="7"/>
        <v>50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7670</v>
      </c>
      <c r="F46" s="129">
        <f t="shared" si="7"/>
        <v>7670</v>
      </c>
      <c r="G46" s="129">
        <f t="shared" si="7"/>
        <v>7670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7670</v>
      </c>
      <c r="F48" s="129">
        <f t="shared" si="11"/>
        <v>7670</v>
      </c>
      <c r="G48" s="129">
        <f t="shared" si="11"/>
        <v>7670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7670</v>
      </c>
      <c r="N52" s="138">
        <f>VLOOKUP($A14,'(D1) Tavanet buxhetore'!$A$7:$R$473,8,FALSE)</f>
        <v>7670</v>
      </c>
      <c r="O52" s="673">
        <f>VLOOKUP($A14,'(D1) Tavanet buxhetore'!$A$7:$R$473,9,FALSE)</f>
        <v>7670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7670</v>
      </c>
      <c r="N53" s="139">
        <f t="shared" ref="N53:O53" si="13">F18</f>
        <v>7670</v>
      </c>
      <c r="O53" s="674">
        <f t="shared" si="13"/>
        <v>7670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7620</v>
      </c>
      <c r="N55" s="138">
        <f>VLOOKUP($A14,'(D1) Tavanet buxhetore'!$A$7:$R$473,11,FALSE)</f>
        <v>7620</v>
      </c>
      <c r="O55" s="673">
        <f>VLOOKUP($A14,'(D1) Tavanet buxhetore'!$A$7:$R$473,12,FALSE)</f>
        <v>7620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7620</v>
      </c>
      <c r="N56" s="139">
        <f t="shared" ref="N56:O56" si="15">F22+F35+F23+F36</f>
        <v>7620</v>
      </c>
      <c r="O56" s="674">
        <f t="shared" si="15"/>
        <v>7620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50</v>
      </c>
      <c r="N58" s="138">
        <f>VLOOKUP($A14,'(D1) Tavanet buxhetore'!$A$7:$R$473,14,FALSE)</f>
        <v>50</v>
      </c>
      <c r="O58" s="673">
        <f>VLOOKUP($A14,'(D1) Tavanet buxhetore'!$A$7:$R$473,15,FALSE)</f>
        <v>50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50</v>
      </c>
      <c r="N59" s="139">
        <f>N53-N56-N62</f>
        <v>50</v>
      </c>
      <c r="O59" s="674">
        <f>O53-O56-O62</f>
        <v>50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62" t="str">
        <f t="shared" si="20"/>
        <v>031 Shërbimet Policore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3a</v>
      </c>
      <c r="B67" s="962" t="str">
        <f>C6</f>
        <v>Shërbimet e Policisë Vendore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Funksionale'!B22</f>
        <v>03140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7670</v>
      </c>
      <c r="F72" s="416">
        <v>7670</v>
      </c>
      <c r="G72" s="416">
        <v>7670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/>
      <c r="O78" s="549"/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7670</v>
      </c>
      <c r="N88" s="18">
        <f t="shared" si="31"/>
        <v>7670</v>
      </c>
      <c r="O88" s="18">
        <f t="shared" si="31"/>
        <v>7670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6529</v>
      </c>
      <c r="F89" s="37">
        <v>6529</v>
      </c>
      <c r="G89" s="37">
        <v>6529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1091</v>
      </c>
      <c r="F90" s="37">
        <v>1091</v>
      </c>
      <c r="G90" s="37">
        <v>1091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50</v>
      </c>
      <c r="F91" s="37">
        <v>50</v>
      </c>
      <c r="G91" s="37">
        <v>50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7670</v>
      </c>
      <c r="F100" s="129">
        <f t="shared" ref="F100:G100" si="33">SUM(F89:F99)</f>
        <v>7670</v>
      </c>
      <c r="G100" s="129">
        <f t="shared" si="33"/>
        <v>7670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7670</v>
      </c>
      <c r="F102" s="129">
        <f>F87+F100</f>
        <v>7670</v>
      </c>
      <c r="G102" s="129">
        <f t="shared" ref="G102" si="35">G87+G100</f>
        <v>7670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3</v>
      </c>
      <c r="B105" s="962" t="str">
        <f t="shared" si="36"/>
        <v>031 Shërbimet Policore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3b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8">
        <f>'(B3) Struktura Funksionale'!B23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3</v>
      </c>
      <c r="B144" s="962" t="str">
        <f t="shared" si="53"/>
        <v>031 Shërbimet Policore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3c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Funksionale'!B24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CSH85YCruYsqTu4CTOOsOuAQ7FsX3RID+3sFtVFUp4JbR8XXRamAKYp9YXe3rwBsmANCziK8vDtJ8+3MUYYvFg==" saltValue="ZAzTW8c9OQRAGakwAWTdA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zoomScaleNormal="100" workbookViewId="0">
      <selection activeCell="E94" sqref="E94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Fjalori'!A67</f>
        <v>Nënfunksioni 4</v>
      </c>
      <c r="B2" s="860" t="str">
        <f>+VLOOKUP($A2,'(B2) Struktura Organizative'!$A7:$E68,2,FALSE)</f>
        <v>032 Shërbimet e mbrojtjes ndaj zjarrit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Funksionale'!A26</f>
        <v>Programi 4a</v>
      </c>
      <c r="B6" s="940"/>
      <c r="C6" s="941" t="str">
        <f>VLOOKUP($A6,'(B3) Struktura Funksionale'!$A$7:$E$146,3,FALSE)</f>
        <v>Mbrotja nga zjarri dhe mbrojtja civile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Transferuar</v>
      </c>
      <c r="M6" s="942"/>
      <c r="N6" s="942"/>
      <c r="O6" s="943"/>
    </row>
    <row r="7" spans="1:15" ht="13.5" customHeight="1" x14ac:dyDescent="0.2">
      <c r="A7" s="939" t="str">
        <f>'(B3) Struktura Funksionale'!A27</f>
        <v>Programi 4b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Funksionale'!A28</f>
        <v>Programi 4c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4</v>
      </c>
      <c r="B14" s="962" t="str">
        <f>B$2</f>
        <v>032 Shërbimet e mbrojtjes ndaj zjarrit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21298</v>
      </c>
      <c r="C18" s="34">
        <f t="shared" si="1"/>
        <v>21298</v>
      </c>
      <c r="D18" s="34">
        <f t="shared" si="1"/>
        <v>21298</v>
      </c>
      <c r="E18" s="129">
        <f t="shared" si="1"/>
        <v>31430</v>
      </c>
      <c r="F18" s="129">
        <f t="shared" si="1"/>
        <v>31430</v>
      </c>
      <c r="G18" s="129">
        <f t="shared" si="1"/>
        <v>31430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20300</v>
      </c>
      <c r="L27" s="34">
        <f>L80+L119+L158+L196+L234+L272</f>
        <v>20300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20300</v>
      </c>
      <c r="L29" s="34">
        <f t="shared" si="5"/>
        <v>20300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21298</v>
      </c>
      <c r="K34" s="18">
        <f t="shared" si="6"/>
        <v>998</v>
      </c>
      <c r="L34" s="18">
        <f t="shared" si="6"/>
        <v>998</v>
      </c>
      <c r="M34" s="18">
        <f t="shared" si="6"/>
        <v>31430</v>
      </c>
      <c r="N34" s="18">
        <f t="shared" si="6"/>
        <v>31430</v>
      </c>
      <c r="O34" s="18">
        <f t="shared" si="6"/>
        <v>31430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17852</v>
      </c>
      <c r="F35" s="305">
        <f t="shared" si="7"/>
        <v>17852</v>
      </c>
      <c r="G35" s="305">
        <f t="shared" si="7"/>
        <v>17852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2982</v>
      </c>
      <c r="F36" s="305">
        <f t="shared" si="7"/>
        <v>2982</v>
      </c>
      <c r="G36" s="305">
        <f t="shared" si="7"/>
        <v>2982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10596</v>
      </c>
      <c r="F37" s="305">
        <f t="shared" si="7"/>
        <v>10596</v>
      </c>
      <c r="G37" s="305">
        <f t="shared" si="7"/>
        <v>10596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31430</v>
      </c>
      <c r="F46" s="129">
        <f t="shared" si="7"/>
        <v>31430</v>
      </c>
      <c r="G46" s="129">
        <f t="shared" si="7"/>
        <v>31430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21298</v>
      </c>
      <c r="C48" s="34">
        <f t="shared" si="11"/>
        <v>21298</v>
      </c>
      <c r="D48" s="34">
        <f t="shared" si="11"/>
        <v>21298</v>
      </c>
      <c r="E48" s="129">
        <f t="shared" si="11"/>
        <v>31430</v>
      </c>
      <c r="F48" s="129">
        <f t="shared" si="11"/>
        <v>31430</v>
      </c>
      <c r="G48" s="129">
        <f t="shared" si="11"/>
        <v>31430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31430</v>
      </c>
      <c r="N52" s="138">
        <f>VLOOKUP($A14,'(D1) Tavanet buxhetore'!$A$7:$R$473,8,FALSE)</f>
        <v>31430</v>
      </c>
      <c r="O52" s="673">
        <f>VLOOKUP($A14,'(D1) Tavanet buxhetore'!$A$7:$R$473,9,FALSE)</f>
        <v>31430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31430</v>
      </c>
      <c r="N53" s="139">
        <f t="shared" ref="N53:O53" si="13">F18</f>
        <v>31430</v>
      </c>
      <c r="O53" s="674">
        <f t="shared" si="13"/>
        <v>31430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20834</v>
      </c>
      <c r="N55" s="138">
        <f>VLOOKUP($A14,'(D1) Tavanet buxhetore'!$A$7:$R$473,11,FALSE)</f>
        <v>20834</v>
      </c>
      <c r="O55" s="673">
        <f>VLOOKUP($A14,'(D1) Tavanet buxhetore'!$A$7:$R$473,12,FALSE)</f>
        <v>20834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20834</v>
      </c>
      <c r="N56" s="139">
        <f t="shared" ref="N56:O56" si="15">F22+F35+F23+F36</f>
        <v>20834</v>
      </c>
      <c r="O56" s="674">
        <f t="shared" si="15"/>
        <v>20834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10596</v>
      </c>
      <c r="N58" s="138">
        <f>VLOOKUP($A14,'(D1) Tavanet buxhetore'!$A$7:$R$473,14,FALSE)</f>
        <v>10596</v>
      </c>
      <c r="O58" s="673">
        <f>VLOOKUP($A14,'(D1) Tavanet buxhetore'!$A$7:$R$473,15,FALSE)</f>
        <v>10596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10596</v>
      </c>
      <c r="N59" s="139">
        <f>N53-N56-N62</f>
        <v>10596</v>
      </c>
      <c r="O59" s="674">
        <f>O53-O56-O62</f>
        <v>10596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62" t="str">
        <f t="shared" si="20"/>
        <v>032 Shërbimet e mbrojtjes ndaj zjarrit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4a</v>
      </c>
      <c r="B67" s="962" t="str">
        <f>C6</f>
        <v>Mbrotja nga zjarri dhe mbrojtja civile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Funksionale'!B26</f>
        <v>03280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21298</v>
      </c>
      <c r="C72" s="345">
        <f>VLOOKUP(A67,'(C1) Shpenzimet vitet e kaluara'!A$9:O$177,9,FALSE)</f>
        <v>21298</v>
      </c>
      <c r="D72" s="345">
        <f>VLOOKUP(A67,'(C1) Shpenzimet vitet e kaluara'!A$9:O$177,13,FALSE)</f>
        <v>21298</v>
      </c>
      <c r="E72" s="416">
        <v>31430</v>
      </c>
      <c r="F72" s="416">
        <v>31430</v>
      </c>
      <c r="G72" s="416">
        <v>31430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20300</v>
      </c>
      <c r="L80" s="35">
        <f>VLOOKUP($A67,'(C1) Shpenzimet vitet e kaluara'!$A$9:$O$177,15,FALSE)</f>
        <v>20300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20300</v>
      </c>
      <c r="L82" s="34">
        <f>L73+L80</f>
        <v>20300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21298</v>
      </c>
      <c r="K88" s="18">
        <f t="shared" si="31"/>
        <v>998</v>
      </c>
      <c r="L88" s="18">
        <f t="shared" si="31"/>
        <v>998</v>
      </c>
      <c r="M88" s="18">
        <f t="shared" si="31"/>
        <v>31430</v>
      </c>
      <c r="N88" s="18">
        <f t="shared" si="31"/>
        <v>31430</v>
      </c>
      <c r="O88" s="18">
        <f t="shared" si="31"/>
        <v>31430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17852</v>
      </c>
      <c r="F89" s="37">
        <v>17852</v>
      </c>
      <c r="G89" s="37">
        <v>17852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2982</v>
      </c>
      <c r="F90" s="37">
        <v>2982</v>
      </c>
      <c r="G90" s="37">
        <v>2982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10596</v>
      </c>
      <c r="F91" s="37">
        <v>10596</v>
      </c>
      <c r="G91" s="37">
        <v>10596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31430</v>
      </c>
      <c r="F100" s="129">
        <f t="shared" ref="F100:G100" si="33">SUM(F89:F99)</f>
        <v>31430</v>
      </c>
      <c r="G100" s="129">
        <f t="shared" si="33"/>
        <v>31430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21298</v>
      </c>
      <c r="C102" s="34">
        <f t="shared" ref="C102:D102" si="34">C72</f>
        <v>21298</v>
      </c>
      <c r="D102" s="34">
        <f t="shared" si="34"/>
        <v>21298</v>
      </c>
      <c r="E102" s="129">
        <f>E87+E100</f>
        <v>31430</v>
      </c>
      <c r="F102" s="129">
        <f>F87+F100</f>
        <v>31430</v>
      </c>
      <c r="G102" s="129">
        <f t="shared" ref="G102" si="35">G87+G100</f>
        <v>31430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4</v>
      </c>
      <c r="B105" s="962" t="str">
        <f t="shared" si="36"/>
        <v>032 Shërbimet e mbrojtjes ndaj zjarrit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4b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Funksionale'!B27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4</v>
      </c>
      <c r="B144" s="962" t="str">
        <f t="shared" si="53"/>
        <v>032 Shërbimet e mbrojtjes ndaj zjarrit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4c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Funksionale'!B28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ocAX2GAeGk7VYXSSDzui5JkgKXWkUSKAEKm6DHEg9A4VcfgYyUvGaT5e1Y7ottaTvmp5qCp1HCVqbsp/r5HB4w==" saltValue="gw5Li+QbcGt3R1mlTYztu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zoomScaleNormal="100" workbookViewId="0">
      <selection activeCell="B18" sqref="B18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46" t="str">
        <f>'(G1) Fjalori'!A13</f>
        <v>Verdhë = Per tu plotësuar nga Departamenti i Financës</v>
      </c>
      <c r="B1" s="847"/>
    </row>
    <row r="2" spans="1:2" s="97" customFormat="1" x14ac:dyDescent="0.2"/>
    <row r="3" spans="1:2" s="218" customFormat="1" ht="21" x14ac:dyDescent="0.25">
      <c r="A3" s="844" t="str">
        <f>'(G1) Fjalori'!A14</f>
        <v>(B1) Informacion i Përgjithshëm</v>
      </c>
      <c r="B3" s="845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2019</v>
      </c>
    </row>
    <row r="6" spans="1:2" x14ac:dyDescent="0.2">
      <c r="A6" s="232" t="str">
        <f>'(G1) Fjalori'!A6</f>
        <v>Viti i shkuar</v>
      </c>
      <c r="B6" s="24">
        <f>B7-1</f>
        <v>2020</v>
      </c>
    </row>
    <row r="7" spans="1:2" x14ac:dyDescent="0.2">
      <c r="A7" s="232" t="str">
        <f>'(G1) Fjalori'!A7</f>
        <v>Viti aktual</v>
      </c>
      <c r="B7" s="62">
        <v>2021</v>
      </c>
    </row>
    <row r="8" spans="1:2" x14ac:dyDescent="0.2">
      <c r="A8" s="232" t="str">
        <f>'(G1) Fjalori'!A8</f>
        <v>Viti t+1 (I pritur)</v>
      </c>
      <c r="B8" s="24">
        <f>B7+1</f>
        <v>2022</v>
      </c>
    </row>
    <row r="9" spans="1:2" x14ac:dyDescent="0.2">
      <c r="A9" s="232" t="str">
        <f>'(G1) Fjalori'!A9</f>
        <v>Viti t+2 (I pritur)</v>
      </c>
      <c r="B9" s="24">
        <f>B8+1</f>
        <v>2023</v>
      </c>
    </row>
    <row r="10" spans="1:2" x14ac:dyDescent="0.2">
      <c r="A10" s="232" t="str">
        <f>'(G1) Fjalori'!A10</f>
        <v>Viti t+3 (I pritur)</v>
      </c>
      <c r="B10" s="24">
        <f>B9+1</f>
        <v>2024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5" t="s">
        <v>1931</v>
      </c>
    </row>
    <row r="13" spans="1:2" x14ac:dyDescent="0.2">
      <c r="A13" s="233" t="str">
        <f>'(G1) Fjalori'!A16</f>
        <v>Shefi i Departamentit të Financës</v>
      </c>
      <c r="B13" s="62" t="s">
        <v>1932</v>
      </c>
    </row>
    <row r="14" spans="1:2" x14ac:dyDescent="0.2">
      <c r="A14" s="233" t="str">
        <f>'(G1) Fjalori'!A17</f>
        <v>Rruga</v>
      </c>
      <c r="B14" s="62" t="s">
        <v>1933</v>
      </c>
    </row>
    <row r="15" spans="1:2" x14ac:dyDescent="0.2">
      <c r="A15" s="233" t="str">
        <f>'(G1) Fjalori'!A18</f>
        <v>Kodi Postar</v>
      </c>
      <c r="B15" s="62">
        <v>606</v>
      </c>
    </row>
    <row r="16" spans="1:2" x14ac:dyDescent="0.2">
      <c r="A16" s="233" t="str">
        <f>'(G1) Fjalori'!A19</f>
        <v>Qyteti</v>
      </c>
      <c r="B16" s="62" t="s">
        <v>1934</v>
      </c>
    </row>
    <row r="17" spans="1:5" x14ac:dyDescent="0.2">
      <c r="A17" s="233" t="str">
        <f>'(G1) Fjalori'!A20</f>
        <v>Data e Aktualizimit (Vit, Muaj, Ditë)</v>
      </c>
      <c r="B17" s="30"/>
    </row>
    <row r="18" spans="1:5" ht="25.5" x14ac:dyDescent="0.2">
      <c r="A18" s="233" t="str">
        <f>'(G1) Fjalori'!A21</f>
        <v>Popullsia (Të dhënat sipas CENSUS, dhe e vitit të fundit)</v>
      </c>
      <c r="B18" s="110">
        <v>78940</v>
      </c>
    </row>
    <row r="19" spans="1:5" x14ac:dyDescent="0.2">
      <c r="A19" s="233" t="str">
        <f>'(G1) Fjalori'!A22</f>
        <v>Numri i punonjësve (Në fund të vitit të kaluar)</v>
      </c>
      <c r="B19" s="110">
        <v>764</v>
      </c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>
        <v>744</v>
      </c>
    </row>
    <row r="21" spans="1:5" ht="25.5" x14ac:dyDescent="0.2">
      <c r="A21" s="233" t="str">
        <f>'(G1) Fjalori'!A24</f>
        <v>Numri i punonjësve me kohë të pjesshme (Në fund të vitit të kaluar)</v>
      </c>
      <c r="B21" s="110">
        <v>20</v>
      </c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YEvWvn3M1SwbwtAc2h9CPtfC2JzNYNcds9yvVMM47K0jXg8+3JyZDzn0+0iiHeL2tcsnkXYVpIcBzI467cevIA==" saltValue="NuuhwNbmfi6Fr57ud6mbDw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topLeftCell="A18" zoomScaleNormal="10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Fjalori'!A68</f>
        <v>Nënfunksioni 5</v>
      </c>
      <c r="B2" s="860" t="str">
        <f>+VLOOKUP($A2,'(B2) Struktura Organizative'!$A7:$E68,2,FALSE)</f>
        <v>036 Marrdheniet me komunitetin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Funksionale'!A30</f>
        <v>Programi 5a</v>
      </c>
      <c r="B6" s="940"/>
      <c r="C6" s="941" t="str">
        <f>VLOOKUP($A6,'(B3) Struktura Funksionale'!$A$7:$E$146,3,FALSE)</f>
        <v>Marrdheniet me komunitetin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hidden="1" customHeight="1" x14ac:dyDescent="0.2">
      <c r="A7" s="939" t="str">
        <f>'(B3) Struktura Funksionale'!A31</f>
        <v>Programi 5b</v>
      </c>
      <c r="B7" s="940"/>
      <c r="C7" s="941" t="str">
        <f>VLOOKUP($A7,'(B3) Struktura Funksionale'!$A$7:$E$146,3,FALSE)</f>
        <v>Supervizionimi administrativ lokal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Funksionale'!A32</f>
        <v>Programi 5c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5</v>
      </c>
      <c r="B14" s="962" t="str">
        <f>B$2</f>
        <v>036 Marrdheniet me komunitetin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62" t="str">
        <f t="shared" si="20"/>
        <v>036 Marrdheniet me komunitetin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5a</v>
      </c>
      <c r="B67" s="962" t="str">
        <f>C6</f>
        <v>Marrdheniet me komunitetin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Funksionale'!B30</f>
        <v>03600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62" t="str">
        <f t="shared" si="36"/>
        <v>036 Marrdheniet me komunitetin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5b</v>
      </c>
      <c r="B106" s="962" t="str">
        <f>C7</f>
        <v>Supervizionimi administrativ lokal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Funksionale'!B31</f>
        <v>03602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8" t="str">
        <f t="shared" ref="A108:G108" si="37">A69</f>
        <v>SHPENZIME TË PRITSHME</v>
      </c>
      <c r="B108" s="959">
        <f t="shared" si="37"/>
        <v>0</v>
      </c>
      <c r="C108" s="959">
        <f t="shared" si="37"/>
        <v>0</v>
      </c>
      <c r="D108" s="959">
        <f t="shared" si="37"/>
        <v>0</v>
      </c>
      <c r="E108" s="959">
        <f t="shared" si="37"/>
        <v>0</v>
      </c>
      <c r="F108" s="959">
        <f t="shared" si="37"/>
        <v>0</v>
      </c>
      <c r="G108" s="979">
        <f t="shared" si="37"/>
        <v>0</v>
      </c>
      <c r="H108" s="131"/>
      <c r="I108" s="980" t="str">
        <f t="shared" ref="I108:O108" si="38">I69</f>
        <v xml:space="preserve">TË ARDHURAT E PRITSHME </v>
      </c>
      <c r="J108" s="959">
        <f t="shared" si="38"/>
        <v>0</v>
      </c>
      <c r="K108" s="959">
        <f t="shared" si="38"/>
        <v>0</v>
      </c>
      <c r="L108" s="959">
        <f t="shared" si="38"/>
        <v>0</v>
      </c>
      <c r="M108" s="959">
        <f t="shared" si="38"/>
        <v>0</v>
      </c>
      <c r="N108" s="959">
        <f t="shared" si="38"/>
        <v>0</v>
      </c>
      <c r="O108" s="97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37"/>
      <c r="F125" s="37"/>
      <c r="G125" s="37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62" t="str">
        <f t="shared" si="53"/>
        <v>036 Marrdheniet me komunitetin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5c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Funksionale'!B32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12qbX9q4sJqiA6m2xJFYT1y1TqnEzS6/PZbys2hxuTdH8aLx3oKDGnJ7DTIg3ZjXJaCii8M7A3eDerKZdk9hhg==" saltValue="u9k6lWfAJBQhQU5EmlP40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134" zoomScaleNormal="100" workbookViewId="0">
      <selection activeCell="M118" sqref="M11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Fjalori'!A69</f>
        <v>Nënfunksioni 6</v>
      </c>
      <c r="B2" s="860" t="str">
        <f>+VLOOKUP($A2,'(B2) Struktura Organizative'!$A7:$E68,2,FALSE)</f>
        <v>041 Çështjet e përgjithshme ekonomike, tregtare dhe të punës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Funksionale'!A35</f>
        <v>Programi 6a</v>
      </c>
      <c r="B6" s="940"/>
      <c r="C6" s="941" t="str">
        <f>VLOOKUP($A6,'(B3) Struktura Funksionale'!$A$7:$E$146,3,FALSE)</f>
        <v xml:space="preserve">Çështjet e përgjithshme ekonomike dhe tregtare 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Funksionale'!A36</f>
        <v>Programi 6b</v>
      </c>
      <c r="B7" s="940"/>
      <c r="C7" s="941" t="str">
        <f>VLOOKUP($A7,'(B3) Struktura Funksionale'!$A$7:$E$146,3,FALSE)</f>
        <v>Mbështetje për zhvillimin ekonomik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hidden="1" customHeight="1" x14ac:dyDescent="0.2">
      <c r="A8" s="939" t="str">
        <f>'(B3) Struktura Funksionale'!A37</f>
        <v>Programi 6c</v>
      </c>
      <c r="B8" s="940"/>
      <c r="C8" s="941" t="str">
        <f>VLOOKUP($A8,'(B3) Struktura Funksionale'!$A$7:$E$146,3,FALSE)</f>
        <v>Promovimi i biznesit lokal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hidden="1" customHeight="1" x14ac:dyDescent="0.2">
      <c r="A9" s="939" t="str">
        <f>'(B3) Struktura Funksionale'!A38</f>
        <v>Programi 6d</v>
      </c>
      <c r="B9" s="940"/>
      <c r="C9" s="941" t="str">
        <f>VLOOKUP($A9,'(B3) Struktura Funksionale'!$A$7:$E$146,3,FALSE)</f>
        <v>Mbështetja e Zhvillimit rajonal</v>
      </c>
      <c r="D9" s="942"/>
      <c r="E9" s="942"/>
      <c r="F9" s="942"/>
      <c r="G9" s="942"/>
      <c r="H9" s="943"/>
      <c r="I9" s="941" t="str">
        <f>VLOOKUP($A9,'(B3) Struktura Funksionale'!$A$7:$E$146,4,FALSE)</f>
        <v>E detyrueshme</v>
      </c>
      <c r="J9" s="942"/>
      <c r="K9" s="943"/>
      <c r="L9" s="941" t="str">
        <f>VLOOKUP($A9,'(B3) Struktura Funksionale'!$A$7:$E$146,5,FALSE)</f>
        <v>I veti</v>
      </c>
      <c r="M9" s="942"/>
      <c r="N9" s="942"/>
      <c r="O9" s="943"/>
    </row>
    <row r="10" spans="1:15" ht="13.5" customHeight="1" x14ac:dyDescent="0.2">
      <c r="A10" s="939" t="str">
        <f>'(B3) Struktura Funksionale'!A39</f>
        <v>Programi 6e</v>
      </c>
      <c r="B10" s="940"/>
      <c r="C10" s="941" t="str">
        <f>VLOOKUP($A10,'(B3) Struktura Funksionale'!$A$7:$E$146,3,FALSE)</f>
        <v>Shërbimet e tregjeve, akreditimi dhe inspektimi</v>
      </c>
      <c r="D10" s="942"/>
      <c r="E10" s="942"/>
      <c r="F10" s="942"/>
      <c r="G10" s="942"/>
      <c r="H10" s="943"/>
      <c r="I10" s="941" t="str">
        <f>VLOOKUP($A10,'(B3) Struktura Funksionale'!$A$7:$E$146,4,FALSE)</f>
        <v>E detyrueshme</v>
      </c>
      <c r="J10" s="942"/>
      <c r="K10" s="943"/>
      <c r="L10" s="941" t="str">
        <f>VLOOKUP($A10,'(B3) Struktura Funksionale'!$A$7:$E$146,5,FALSE)</f>
        <v>I veti</v>
      </c>
      <c r="M10" s="942"/>
      <c r="N10" s="942"/>
      <c r="O10" s="943"/>
    </row>
    <row r="11" spans="1:15" ht="13.5" customHeight="1" x14ac:dyDescent="0.2">
      <c r="A11" s="939" t="str">
        <f>'(B3) Struktura Funksionale'!A40</f>
        <v>Programi 6f</v>
      </c>
      <c r="B11" s="940"/>
      <c r="C11" s="941">
        <f>VLOOKUP($A11,'(B3) Struktura Funksionale'!$A$7:$E$146,3,FALSE)</f>
        <v>0</v>
      </c>
      <c r="D11" s="942"/>
      <c r="E11" s="942"/>
      <c r="F11" s="942"/>
      <c r="G11" s="942"/>
      <c r="H11" s="943"/>
      <c r="I11" s="941">
        <f>VLOOKUP($A11,'(B3) Struktura Funksionale'!$A$7:$E$146,4,FALSE)</f>
        <v>0</v>
      </c>
      <c r="J11" s="942"/>
      <c r="K11" s="943"/>
      <c r="L11" s="941">
        <f>VLOOKUP($A11,'(B3) Struktura Funksionale'!$A$7:$E$146,5,FALSE)</f>
        <v>0</v>
      </c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6</v>
      </c>
      <c r="B14" s="962" t="str">
        <f>B$2</f>
        <v>041 Çështjet e përgjithshme ekonomike, tregtare dhe të punës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1631</v>
      </c>
      <c r="F18" s="129">
        <f t="shared" si="1"/>
        <v>1631</v>
      </c>
      <c r="G18" s="129">
        <f t="shared" si="1"/>
        <v>1631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1631</v>
      </c>
      <c r="N34" s="18">
        <f t="shared" si="6"/>
        <v>1631</v>
      </c>
      <c r="O34" s="18">
        <f t="shared" si="6"/>
        <v>1631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E89+E128+E167+E206+E245+E284</f>
        <v>1329</v>
      </c>
      <c r="F35" s="305">
        <f t="shared" si="7"/>
        <v>1329</v>
      </c>
      <c r="G35" s="305">
        <f t="shared" si="7"/>
        <v>1329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222</v>
      </c>
      <c r="F36" s="305">
        <f t="shared" si="7"/>
        <v>222</v>
      </c>
      <c r="G36" s="305">
        <f t="shared" si="7"/>
        <v>222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80</v>
      </c>
      <c r="F37" s="305">
        <f t="shared" si="7"/>
        <v>80</v>
      </c>
      <c r="G37" s="305">
        <f t="shared" si="7"/>
        <v>80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1631</v>
      </c>
      <c r="F46" s="129">
        <f t="shared" si="7"/>
        <v>1631</v>
      </c>
      <c r="G46" s="129">
        <f t="shared" si="7"/>
        <v>1631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1631</v>
      </c>
      <c r="F48" s="129">
        <f t="shared" si="11"/>
        <v>1631</v>
      </c>
      <c r="G48" s="129">
        <f t="shared" si="11"/>
        <v>1631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1631</v>
      </c>
      <c r="N52" s="138">
        <f>VLOOKUP($A14,'(D1) Tavanet buxhetore'!$A$7:$R$473,8,FALSE)</f>
        <v>1631</v>
      </c>
      <c r="O52" s="673">
        <f>VLOOKUP($A14,'(D1) Tavanet buxhetore'!$A$7:$R$473,9,FALSE)</f>
        <v>1631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1631</v>
      </c>
      <c r="N53" s="139">
        <f t="shared" ref="N53:O53" si="13">F18</f>
        <v>1631</v>
      </c>
      <c r="O53" s="674">
        <f t="shared" si="13"/>
        <v>1631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1551</v>
      </c>
      <c r="N55" s="138">
        <f>VLOOKUP($A14,'(D1) Tavanet buxhetore'!$A$7:$R$473,11,FALSE)</f>
        <v>1551</v>
      </c>
      <c r="O55" s="673">
        <f>VLOOKUP($A14,'(D1) Tavanet buxhetore'!$A$7:$R$473,12,FALSE)</f>
        <v>1551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1551</v>
      </c>
      <c r="N56" s="139">
        <f t="shared" ref="N56:O56" si="15">F22+F35+F23+F36</f>
        <v>1551</v>
      </c>
      <c r="O56" s="674">
        <f t="shared" si="15"/>
        <v>1551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80</v>
      </c>
      <c r="N58" s="138">
        <f>VLOOKUP($A14,'(D1) Tavanet buxhetore'!$A$7:$R$473,14,FALSE)</f>
        <v>80</v>
      </c>
      <c r="O58" s="673">
        <f>VLOOKUP($A14,'(D1) Tavanet buxhetore'!$A$7:$R$473,15,FALSE)</f>
        <v>80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80</v>
      </c>
      <c r="N59" s="139">
        <f>N53-N56-N62</f>
        <v>80</v>
      </c>
      <c r="O59" s="674">
        <f>O53-O56-O62</f>
        <v>80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62" t="str">
        <f t="shared" si="20"/>
        <v>041 Çështjet e përgjithshme ekonomike, tregtare dhe të punës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hidden="1" customHeight="1" x14ac:dyDescent="0.2">
      <c r="A67" s="276" t="str">
        <f>A6</f>
        <v>Programi 6a</v>
      </c>
      <c r="B67" s="962" t="str">
        <f>C6</f>
        <v xml:space="preserve">Çështjet e përgjithshme ekonomike dhe tregtare 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hidden="1" customHeight="1" x14ac:dyDescent="0.2">
      <c r="A68" s="647" t="str">
        <f>'(B3) Struktura Funksionale'!B35</f>
        <v>04110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hidden="1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hidden="1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hidden="1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hidden="1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hidden="1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hidden="1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62" t="str">
        <f t="shared" si="36"/>
        <v>041 Çështjet e përgjithshme ekonomike, tregtare dhe të punës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6b</v>
      </c>
      <c r="B106" s="962" t="str">
        <f>C7</f>
        <v>Mbështetje për zhvillimin ekonomik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 t="str">
        <f>'(B3) Struktura Funksionale'!B36</f>
        <v>04130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>
        <v>1631</v>
      </c>
      <c r="F111" s="37">
        <v>1631</v>
      </c>
      <c r="G111" s="37">
        <v>1631</v>
      </c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1631</v>
      </c>
      <c r="N127" s="18">
        <f t="shared" si="48"/>
        <v>1631</v>
      </c>
      <c r="O127" s="18">
        <f t="shared" si="48"/>
        <v>1631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>
        <v>1329</v>
      </c>
      <c r="F128" s="37">
        <v>1329</v>
      </c>
      <c r="G128" s="37">
        <v>1329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>
        <v>222</v>
      </c>
      <c r="F129" s="37">
        <v>222</v>
      </c>
      <c r="G129" s="37">
        <v>222</v>
      </c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>
        <v>80</v>
      </c>
      <c r="F130" s="37">
        <v>80</v>
      </c>
      <c r="G130" s="37">
        <v>80</v>
      </c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1631</v>
      </c>
      <c r="F139" s="129">
        <f t="shared" ref="F139:G139" si="50">SUM(F128:F138)</f>
        <v>1631</v>
      </c>
      <c r="G139" s="129">
        <f t="shared" si="50"/>
        <v>1631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1631</v>
      </c>
      <c r="F141" s="129">
        <f>F126+F139</f>
        <v>1631</v>
      </c>
      <c r="G141" s="129">
        <f t="shared" ref="G141" si="52">G126+G139</f>
        <v>1631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hidden="1" customHeight="1" x14ac:dyDescent="0.2">
      <c r="A144" s="213" t="str">
        <f t="shared" ref="A144:O144" si="53">A66</f>
        <v>Nënfunksioni 6</v>
      </c>
      <c r="B144" s="962" t="str">
        <f t="shared" si="53"/>
        <v>041 Çështjet e përgjithshme ekonomike, tregtare dhe të punës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hidden="1" customHeight="1" x14ac:dyDescent="0.2">
      <c r="A145" s="276" t="str">
        <f>A8</f>
        <v>Programi 6c</v>
      </c>
      <c r="B145" s="962" t="str">
        <f>C8</f>
        <v>Promovimi i biznesit lokal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hidden="1" customHeight="1" x14ac:dyDescent="0.2">
      <c r="A146" s="647" t="str">
        <f>'(B3) Struktura Funksionale'!B37</f>
        <v>04131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8" t="str">
        <f t="shared" ref="A147:G147" si="54">A69</f>
        <v>SHPENZIME TË PRITSHME</v>
      </c>
      <c r="B147" s="959">
        <f t="shared" si="54"/>
        <v>0</v>
      </c>
      <c r="C147" s="959">
        <f t="shared" si="54"/>
        <v>0</v>
      </c>
      <c r="D147" s="959">
        <f t="shared" si="54"/>
        <v>0</v>
      </c>
      <c r="E147" s="959">
        <f t="shared" si="54"/>
        <v>0</v>
      </c>
      <c r="F147" s="959">
        <f t="shared" si="54"/>
        <v>0</v>
      </c>
      <c r="G147" s="979">
        <f t="shared" si="54"/>
        <v>0</v>
      </c>
      <c r="H147" s="131"/>
      <c r="I147" s="980" t="str">
        <f t="shared" ref="I147:O147" si="55">I69</f>
        <v xml:space="preserve">TË ARDHURAT E PRITSHME </v>
      </c>
      <c r="J147" s="959">
        <f t="shared" si="55"/>
        <v>0</v>
      </c>
      <c r="K147" s="959">
        <f t="shared" si="55"/>
        <v>0</v>
      </c>
      <c r="L147" s="959">
        <f t="shared" si="55"/>
        <v>0</v>
      </c>
      <c r="M147" s="959">
        <f t="shared" si="55"/>
        <v>0</v>
      </c>
      <c r="N147" s="959">
        <f t="shared" si="55"/>
        <v>0</v>
      </c>
      <c r="O147" s="97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hidden="1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hidden="1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37"/>
      <c r="F164" s="37"/>
      <c r="G164" s="37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hidden="1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hidden="1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hidden="1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hidden="1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62" t="str">
        <f t="shared" si="70"/>
        <v>041 Çështjet e përgjithshme ekonomike, tregtare dhe të punës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hidden="1" x14ac:dyDescent="0.2">
      <c r="A184" s="276" t="str">
        <f>A9</f>
        <v>Programi 6d</v>
      </c>
      <c r="B184" s="962" t="str">
        <f>C9</f>
        <v>Mbështetja e Zhvillimit rajonal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hidden="1" x14ac:dyDescent="0.2">
      <c r="A185" s="647" t="str">
        <f>'(B3) Struktura Funksionale'!B38</f>
        <v>04132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hidden="1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hidden="1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hidden="1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37"/>
      <c r="F203" s="37"/>
      <c r="G203" s="37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hidden="1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hidden="1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hidden="1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hidden="1" x14ac:dyDescent="0.2">
      <c r="A217" s="124" t="str">
        <f>A100</f>
        <v>SHPENZIME KORRENTE</v>
      </c>
      <c r="B217" s="999"/>
      <c r="C217" s="1000"/>
      <c r="D217" s="100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1014"/>
      <c r="K219" s="1015"/>
      <c r="L219" s="1015"/>
      <c r="M219" s="1015"/>
      <c r="N219" s="1015"/>
      <c r="O219" s="1016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62" t="str">
        <f t="shared" si="87"/>
        <v>041 Çështjet e përgjithshme ekonomike, tregtare dhe të punës</v>
      </c>
      <c r="C222" s="962">
        <f t="shared" si="87"/>
        <v>0</v>
      </c>
      <c r="D222" s="962">
        <f t="shared" si="87"/>
        <v>0</v>
      </c>
      <c r="E222" s="962">
        <f t="shared" si="87"/>
        <v>0</v>
      </c>
      <c r="F222" s="962">
        <f t="shared" si="87"/>
        <v>0</v>
      </c>
      <c r="G222" s="962">
        <f t="shared" si="87"/>
        <v>0</v>
      </c>
      <c r="H222" s="962">
        <f t="shared" si="87"/>
        <v>0</v>
      </c>
      <c r="I222" s="962">
        <f t="shared" si="87"/>
        <v>0</v>
      </c>
      <c r="J222" s="962">
        <f t="shared" si="87"/>
        <v>0</v>
      </c>
      <c r="K222" s="962">
        <f t="shared" si="87"/>
        <v>0</v>
      </c>
      <c r="L222" s="962">
        <f t="shared" si="87"/>
        <v>0</v>
      </c>
      <c r="M222" s="962">
        <f t="shared" si="87"/>
        <v>0</v>
      </c>
      <c r="N222" s="962">
        <f t="shared" si="87"/>
        <v>0</v>
      </c>
      <c r="O222" s="962">
        <f t="shared" si="87"/>
        <v>0</v>
      </c>
    </row>
    <row r="223" spans="1:15" ht="17.25" customHeight="1" x14ac:dyDescent="0.2">
      <c r="A223" s="276" t="str">
        <f>A10</f>
        <v>Programi 6e</v>
      </c>
      <c r="B223" s="962" t="str">
        <f>C10</f>
        <v>Shërbimet e tregjeve, akreditimi dhe inspektimi</v>
      </c>
      <c r="C223" s="962" t="e">
        <f>#REF!</f>
        <v>#REF!</v>
      </c>
      <c r="D223" s="962" t="e">
        <f>#REF!</f>
        <v>#REF!</v>
      </c>
      <c r="E223" s="962" t="e">
        <f>#REF!</f>
        <v>#REF!</v>
      </c>
      <c r="F223" s="962" t="e">
        <f>#REF!</f>
        <v>#REF!</v>
      </c>
      <c r="G223" s="962" t="e">
        <f>#REF!</f>
        <v>#REF!</v>
      </c>
      <c r="H223" s="962" t="e">
        <f>#REF!</f>
        <v>#REF!</v>
      </c>
      <c r="I223" s="962" t="e">
        <f>#REF!</f>
        <v>#REF!</v>
      </c>
      <c r="J223" s="962" t="e">
        <f>#REF!</f>
        <v>#REF!</v>
      </c>
      <c r="K223" s="962" t="e">
        <f>#REF!</f>
        <v>#REF!</v>
      </c>
      <c r="L223" s="962" t="e">
        <f>#REF!</f>
        <v>#REF!</v>
      </c>
      <c r="M223" s="962" t="e">
        <f>#REF!</f>
        <v>#REF!</v>
      </c>
      <c r="N223" s="962" t="e">
        <f>#REF!</f>
        <v>#REF!</v>
      </c>
      <c r="O223" s="962" t="e">
        <f>#REF!</f>
        <v>#REF!</v>
      </c>
    </row>
    <row r="224" spans="1:15" ht="17.25" customHeight="1" x14ac:dyDescent="0.2">
      <c r="A224" s="647" t="str">
        <f>'(B3) Struktura Funksionale'!B39</f>
        <v>04160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9" t="str">
        <f t="shared" ref="A225:G225" si="88">A69</f>
        <v>SHPENZIME TË PRITSHME</v>
      </c>
      <c r="B225" s="990">
        <f t="shared" si="88"/>
        <v>0</v>
      </c>
      <c r="C225" s="990">
        <f t="shared" si="88"/>
        <v>0</v>
      </c>
      <c r="D225" s="990">
        <f t="shared" si="88"/>
        <v>0</v>
      </c>
      <c r="E225" s="990">
        <f t="shared" si="88"/>
        <v>0</v>
      </c>
      <c r="F225" s="990">
        <f t="shared" si="88"/>
        <v>0</v>
      </c>
      <c r="G225" s="991">
        <f t="shared" si="88"/>
        <v>0</v>
      </c>
      <c r="H225" s="131"/>
      <c r="I225" s="992" t="str">
        <f t="shared" ref="I225:O225" si="89">I69</f>
        <v xml:space="preserve">TË ARDHURAT E PRITSHME </v>
      </c>
      <c r="J225" s="990">
        <f t="shared" si="89"/>
        <v>0</v>
      </c>
      <c r="K225" s="990">
        <f t="shared" si="89"/>
        <v>0</v>
      </c>
      <c r="L225" s="990">
        <f t="shared" si="89"/>
        <v>0</v>
      </c>
      <c r="M225" s="990">
        <f t="shared" si="89"/>
        <v>0</v>
      </c>
      <c r="N225" s="990">
        <f t="shared" si="89"/>
        <v>0</v>
      </c>
      <c r="O225" s="991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63" t="str">
        <f t="shared" ref="I228:O228" si="92">I72</f>
        <v>VLERËSIM I ARDHURAVE NGA TARIFAT</v>
      </c>
      <c r="J228" s="964">
        <f t="shared" si="92"/>
        <v>0</v>
      </c>
      <c r="K228" s="964">
        <f t="shared" si="92"/>
        <v>0</v>
      </c>
      <c r="L228" s="964">
        <f t="shared" si="92"/>
        <v>0</v>
      </c>
      <c r="M228" s="964">
        <f t="shared" si="92"/>
        <v>0</v>
      </c>
      <c r="N228" s="964">
        <f t="shared" si="92"/>
        <v>0</v>
      </c>
      <c r="O228" s="965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69" t="str">
        <f t="shared" ref="A230:G231" si="93">A74</f>
        <v>SHPENZIME TË PRITSHME</v>
      </c>
      <c r="B230" s="970">
        <f t="shared" si="93"/>
        <v>0</v>
      </c>
      <c r="C230" s="970">
        <f t="shared" si="93"/>
        <v>0</v>
      </c>
      <c r="D230" s="970">
        <f t="shared" si="93"/>
        <v>0</v>
      </c>
      <c r="E230" s="970">
        <f t="shared" si="93"/>
        <v>0</v>
      </c>
      <c r="F230" s="970">
        <f t="shared" si="93"/>
        <v>0</v>
      </c>
      <c r="G230" s="971">
        <f t="shared" si="93"/>
        <v>0</v>
      </c>
      <c r="H230" s="10"/>
    </row>
    <row r="231" spans="1:15" ht="12.75" x14ac:dyDescent="0.2">
      <c r="A231" s="963" t="str">
        <f t="shared" si="93"/>
        <v>KOSTO DIREKTE PËR PROJEKTET DHE SHPENZIMET KAPITALE</v>
      </c>
      <c r="B231" s="964">
        <f t="shared" si="93"/>
        <v>0</v>
      </c>
      <c r="C231" s="964">
        <f t="shared" si="93"/>
        <v>0</v>
      </c>
      <c r="D231" s="964">
        <f t="shared" si="93"/>
        <v>0</v>
      </c>
      <c r="E231" s="964">
        <f t="shared" si="93"/>
        <v>0</v>
      </c>
      <c r="F231" s="964">
        <f t="shared" si="93"/>
        <v>0</v>
      </c>
      <c r="G231" s="965">
        <f t="shared" si="93"/>
        <v>0</v>
      </c>
      <c r="H231" s="31"/>
      <c r="I231" s="963" t="str">
        <f t="shared" ref="I231:I236" si="94">I75</f>
        <v>VLERËSIMI I TË ARDHURAVE ME DESTINACION</v>
      </c>
      <c r="J231" s="964"/>
      <c r="K231" s="964"/>
      <c r="L231" s="964"/>
      <c r="M231" s="964"/>
      <c r="N231" s="964"/>
      <c r="O231" s="965"/>
    </row>
    <row r="232" spans="1:15" ht="12.75" x14ac:dyDescent="0.2">
      <c r="A232" s="124" t="str">
        <f t="shared" ref="A232:D254" si="95">A76</f>
        <v>Pagat</v>
      </c>
      <c r="B232" s="966">
        <f t="shared" si="95"/>
        <v>600</v>
      </c>
      <c r="C232" s="967">
        <f t="shared" si="95"/>
        <v>0</v>
      </c>
      <c r="D232" s="968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66">
        <f t="shared" si="95"/>
        <v>601</v>
      </c>
      <c r="C233" s="967">
        <f t="shared" si="95"/>
        <v>0</v>
      </c>
      <c r="D233" s="968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66">
        <f t="shared" si="95"/>
        <v>602</v>
      </c>
      <c r="C234" s="967">
        <f t="shared" si="95"/>
        <v>0</v>
      </c>
      <c r="D234" s="968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66">
        <f t="shared" si="95"/>
        <v>603</v>
      </c>
      <c r="C235" s="967">
        <f t="shared" si="95"/>
        <v>0</v>
      </c>
      <c r="D235" s="968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66">
        <f t="shared" si="95"/>
        <v>604</v>
      </c>
      <c r="C236" s="967">
        <f t="shared" si="95"/>
        <v>0</v>
      </c>
      <c r="D236" s="968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66">
        <f t="shared" si="95"/>
        <v>605</v>
      </c>
      <c r="C237" s="967">
        <f t="shared" si="95"/>
        <v>0</v>
      </c>
      <c r="D237" s="968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66">
        <f t="shared" si="95"/>
        <v>606</v>
      </c>
      <c r="C238" s="967">
        <f t="shared" si="95"/>
        <v>0</v>
      </c>
      <c r="D238" s="968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66" t="str">
        <f t="shared" si="95"/>
        <v>230 / 231</v>
      </c>
      <c r="C239" s="967">
        <f t="shared" si="95"/>
        <v>0</v>
      </c>
      <c r="D239" s="968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66">
        <f t="shared" si="95"/>
        <v>609</v>
      </c>
      <c r="C240" s="967">
        <f t="shared" si="95"/>
        <v>0</v>
      </c>
      <c r="D240" s="968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66">
        <f t="shared" si="95"/>
        <v>650</v>
      </c>
      <c r="C241" s="967">
        <f t="shared" si="95"/>
        <v>0</v>
      </c>
      <c r="D241" s="968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66" t="str">
        <f t="shared" si="95"/>
        <v>69 / ?</v>
      </c>
      <c r="C242" s="967">
        <f t="shared" si="95"/>
        <v>0</v>
      </c>
      <c r="D242" s="968">
        <f t="shared" si="95"/>
        <v>0</v>
      </c>
      <c r="E242" s="129"/>
      <c r="F242" s="129"/>
      <c r="G242" s="129"/>
      <c r="H242" s="53"/>
      <c r="I242" s="972" t="str">
        <f t="shared" ref="I242:O243" si="97">I86</f>
        <v>SHUMA E KËRKUAR NETO</v>
      </c>
      <c r="J242" s="973">
        <f t="shared" si="97"/>
        <v>0</v>
      </c>
      <c r="K242" s="973">
        <f t="shared" si="97"/>
        <v>0</v>
      </c>
      <c r="L242" s="973">
        <f t="shared" si="97"/>
        <v>0</v>
      </c>
      <c r="M242" s="973">
        <f t="shared" si="97"/>
        <v>0</v>
      </c>
      <c r="N242" s="973">
        <f t="shared" si="97"/>
        <v>0</v>
      </c>
      <c r="O242" s="974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66">
        <f t="shared" si="95"/>
        <v>0</v>
      </c>
      <c r="C243" s="967">
        <f t="shared" si="95"/>
        <v>0</v>
      </c>
      <c r="D243" s="968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75">
        <f t="shared" si="97"/>
        <v>0</v>
      </c>
      <c r="J243" s="976">
        <f t="shared" si="97"/>
        <v>0</v>
      </c>
      <c r="K243" s="976">
        <f t="shared" si="97"/>
        <v>0</v>
      </c>
      <c r="L243" s="976">
        <f t="shared" si="97"/>
        <v>0</v>
      </c>
      <c r="M243" s="976">
        <f t="shared" si="97"/>
        <v>0</v>
      </c>
      <c r="N243" s="976">
        <f t="shared" si="97"/>
        <v>0</v>
      </c>
      <c r="O243" s="977">
        <f t="shared" si="97"/>
        <v>0</v>
      </c>
    </row>
    <row r="244" spans="1:15" ht="12.75" x14ac:dyDescent="0.2">
      <c r="A244" s="963" t="str">
        <f t="shared" si="95"/>
        <v>SHPENZIME KORRENTE</v>
      </c>
      <c r="B244" s="964">
        <f t="shared" si="95"/>
        <v>0</v>
      </c>
      <c r="C244" s="964">
        <f t="shared" si="95"/>
        <v>0</v>
      </c>
      <c r="D244" s="964">
        <f t="shared" si="95"/>
        <v>0</v>
      </c>
      <c r="E244" s="964">
        <f>E88</f>
        <v>0</v>
      </c>
      <c r="F244" s="964">
        <f>F88</f>
        <v>0</v>
      </c>
      <c r="G244" s="965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66">
        <f t="shared" si="95"/>
        <v>600</v>
      </c>
      <c r="C245" s="967">
        <f t="shared" si="95"/>
        <v>0</v>
      </c>
      <c r="D245" s="968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66">
        <f t="shared" si="95"/>
        <v>601</v>
      </c>
      <c r="C246" s="967">
        <f t="shared" si="95"/>
        <v>0</v>
      </c>
      <c r="D246" s="968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66">
        <f t="shared" si="95"/>
        <v>602</v>
      </c>
      <c r="C247" s="967">
        <f t="shared" si="95"/>
        <v>0</v>
      </c>
      <c r="D247" s="968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27" t="str">
        <f>J208</f>
        <v>Vlera Totale për Aktivitet</v>
      </c>
      <c r="K247" s="1028"/>
      <c r="L247" s="10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66">
        <f t="shared" si="95"/>
        <v>603</v>
      </c>
      <c r="C248" s="967">
        <f t="shared" si="95"/>
        <v>0</v>
      </c>
      <c r="D248" s="968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27" t="str">
        <f>J209</f>
        <v>Shpenzimet kapitale</v>
      </c>
      <c r="K248" s="1028"/>
      <c r="L248" s="10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66">
        <f t="shared" si="95"/>
        <v>604</v>
      </c>
      <c r="C249" s="967">
        <f t="shared" si="95"/>
        <v>0</v>
      </c>
      <c r="D249" s="968">
        <f t="shared" si="95"/>
        <v>0</v>
      </c>
      <c r="E249" s="37"/>
      <c r="F249" s="37"/>
      <c r="G249" s="37"/>
      <c r="H249" s="53"/>
      <c r="I249" s="315"/>
      <c r="J249" s="1027" t="str">
        <f>J210</f>
        <v>Mallra dhe shërbime</v>
      </c>
      <c r="K249" s="1028"/>
      <c r="L249" s="10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66">
        <f t="shared" si="95"/>
        <v>605</v>
      </c>
      <c r="C250" s="967">
        <f t="shared" si="95"/>
        <v>0</v>
      </c>
      <c r="D250" s="968">
        <f t="shared" si="95"/>
        <v>0</v>
      </c>
      <c r="E250" s="37"/>
      <c r="F250" s="37"/>
      <c r="G250" s="37"/>
      <c r="H250" s="53"/>
      <c r="I250" s="315"/>
      <c r="J250" s="1027" t="str">
        <f>J211</f>
        <v>Qëllime të mëtejshme</v>
      </c>
      <c r="K250" s="1028"/>
      <c r="L250" s="10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66">
        <f t="shared" si="95"/>
        <v>606</v>
      </c>
      <c r="C251" s="967">
        <f t="shared" si="95"/>
        <v>0</v>
      </c>
      <c r="D251" s="968">
        <f t="shared" si="95"/>
        <v>0</v>
      </c>
      <c r="E251" s="37"/>
      <c r="F251" s="37"/>
      <c r="G251" s="37"/>
      <c r="H251" s="53"/>
      <c r="I251" s="315"/>
      <c r="J251" s="1023"/>
      <c r="K251" s="1023"/>
      <c r="L251" s="1023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93" t="str">
        <f t="shared" si="95"/>
        <v>230 / 231</v>
      </c>
      <c r="C252" s="994">
        <f t="shared" si="95"/>
        <v>0</v>
      </c>
      <c r="D252" s="995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66">
        <f t="shared" si="95"/>
        <v>609</v>
      </c>
      <c r="C253" s="967">
        <f t="shared" si="95"/>
        <v>0</v>
      </c>
      <c r="D253" s="968">
        <f t="shared" si="95"/>
        <v>0</v>
      </c>
      <c r="E253" s="37"/>
      <c r="F253" s="37"/>
      <c r="G253" s="37"/>
      <c r="H253" s="53"/>
      <c r="I253" s="419">
        <f>M226</f>
        <v>2022</v>
      </c>
      <c r="J253" s="1008"/>
      <c r="K253" s="1009"/>
      <c r="L253" s="1009"/>
      <c r="M253" s="1009"/>
      <c r="N253" s="1009"/>
      <c r="O253" s="1010"/>
    </row>
    <row r="254" spans="1:15" ht="12.75" x14ac:dyDescent="0.2">
      <c r="A254" s="124" t="str">
        <f t="shared" si="95"/>
        <v>Interesa per kredi direkte ose bono</v>
      </c>
      <c r="B254" s="996">
        <f t="shared" si="95"/>
        <v>650</v>
      </c>
      <c r="C254" s="997">
        <f t="shared" si="95"/>
        <v>0</v>
      </c>
      <c r="D254" s="998">
        <f t="shared" si="95"/>
        <v>0</v>
      </c>
      <c r="E254" s="37"/>
      <c r="F254" s="37"/>
      <c r="G254" s="37"/>
      <c r="H254" s="53"/>
      <c r="I254" s="420"/>
      <c r="J254" s="1011"/>
      <c r="K254" s="1012"/>
      <c r="L254" s="1012"/>
      <c r="M254" s="1012"/>
      <c r="N254" s="1012"/>
      <c r="O254" s="1013"/>
    </row>
    <row r="255" spans="1:15" ht="12.75" x14ac:dyDescent="0.2">
      <c r="A255" s="252" t="str">
        <f>A99</f>
        <v>Të tjera</v>
      </c>
      <c r="B255" s="966" t="str">
        <f>B99</f>
        <v>69 / ?</v>
      </c>
      <c r="C255" s="967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1008"/>
      <c r="K255" s="1009"/>
      <c r="L255" s="1009"/>
      <c r="M255" s="1009"/>
      <c r="N255" s="1009"/>
      <c r="O255" s="1010"/>
    </row>
    <row r="256" spans="1:15" ht="12.75" x14ac:dyDescent="0.2">
      <c r="A256" s="124" t="str">
        <f>A100</f>
        <v>SHPENZIME KORRENTE</v>
      </c>
      <c r="B256" s="999"/>
      <c r="C256" s="1000"/>
      <c r="D256" s="100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1014"/>
      <c r="K256" s="1015"/>
      <c r="L256" s="1015"/>
      <c r="M256" s="1015"/>
      <c r="N256" s="1015"/>
      <c r="O256" s="1016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1008"/>
      <c r="K257" s="1009"/>
      <c r="L257" s="1009"/>
      <c r="M257" s="1009"/>
      <c r="N257" s="1009"/>
      <c r="O257" s="1010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1014"/>
      <c r="K258" s="1015"/>
      <c r="L258" s="1015"/>
      <c r="M258" s="1015"/>
      <c r="N258" s="1015"/>
      <c r="O258" s="1016"/>
    </row>
    <row r="261" spans="1:15" ht="17.25" customHeight="1" x14ac:dyDescent="0.2">
      <c r="A261" s="213" t="str">
        <f t="shared" ref="A261:O261" si="104">A105</f>
        <v>Nënfunksioni 6</v>
      </c>
      <c r="B261" s="962" t="str">
        <f t="shared" si="104"/>
        <v>041 Çështjet e përgjithshme ekonomike, tregtare dhe të punës</v>
      </c>
      <c r="C261" s="962">
        <f t="shared" si="104"/>
        <v>0</v>
      </c>
      <c r="D261" s="962">
        <f t="shared" si="104"/>
        <v>0</v>
      </c>
      <c r="E261" s="962">
        <f t="shared" si="104"/>
        <v>0</v>
      </c>
      <c r="F261" s="962">
        <f t="shared" si="104"/>
        <v>0</v>
      </c>
      <c r="G261" s="962">
        <f t="shared" si="104"/>
        <v>0</v>
      </c>
      <c r="H261" s="962">
        <f t="shared" si="104"/>
        <v>0</v>
      </c>
      <c r="I261" s="962">
        <f t="shared" si="104"/>
        <v>0</v>
      </c>
      <c r="J261" s="962">
        <f t="shared" si="104"/>
        <v>0</v>
      </c>
      <c r="K261" s="962">
        <f t="shared" si="104"/>
        <v>0</v>
      </c>
      <c r="L261" s="962">
        <f t="shared" si="104"/>
        <v>0</v>
      </c>
      <c r="M261" s="962">
        <f t="shared" si="104"/>
        <v>0</v>
      </c>
      <c r="N261" s="962">
        <f t="shared" si="104"/>
        <v>0</v>
      </c>
      <c r="O261" s="962">
        <f t="shared" si="104"/>
        <v>0</v>
      </c>
    </row>
    <row r="262" spans="1:15" ht="17.25" customHeight="1" x14ac:dyDescent="0.2">
      <c r="A262" s="276" t="str">
        <f>A11</f>
        <v>Programi 6f</v>
      </c>
      <c r="B262" s="962">
        <f>C11</f>
        <v>0</v>
      </c>
      <c r="C262" s="962" t="e">
        <f>#REF!</f>
        <v>#REF!</v>
      </c>
      <c r="D262" s="962" t="e">
        <f>#REF!</f>
        <v>#REF!</v>
      </c>
      <c r="E262" s="962" t="e">
        <f>#REF!</f>
        <v>#REF!</v>
      </c>
      <c r="F262" s="962" t="e">
        <f>#REF!</f>
        <v>#REF!</v>
      </c>
      <c r="G262" s="962" t="e">
        <f>#REF!</f>
        <v>#REF!</v>
      </c>
      <c r="H262" s="962" t="e">
        <f>#REF!</f>
        <v>#REF!</v>
      </c>
      <c r="I262" s="962" t="e">
        <f>#REF!</f>
        <v>#REF!</v>
      </c>
      <c r="J262" s="962" t="e">
        <f>#REF!</f>
        <v>#REF!</v>
      </c>
      <c r="K262" s="962" t="e">
        <f>#REF!</f>
        <v>#REF!</v>
      </c>
      <c r="L262" s="962" t="e">
        <f>#REF!</f>
        <v>#REF!</v>
      </c>
      <c r="M262" s="962" t="e">
        <f>#REF!</f>
        <v>#REF!</v>
      </c>
      <c r="N262" s="962" t="e">
        <f>#REF!</f>
        <v>#REF!</v>
      </c>
      <c r="O262" s="962" t="e">
        <f>#REF!</f>
        <v>#REF!</v>
      </c>
    </row>
    <row r="263" spans="1:15" ht="17.25" customHeight="1" x14ac:dyDescent="0.2">
      <c r="A263" s="647">
        <f>'(B3) Struktura Funksionale'!B40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89" t="str">
        <f t="shared" ref="A264:G264" si="105">A108</f>
        <v>SHPENZIME TË PRITSHME</v>
      </c>
      <c r="B264" s="990">
        <f t="shared" si="105"/>
        <v>0</v>
      </c>
      <c r="C264" s="990">
        <f t="shared" si="105"/>
        <v>0</v>
      </c>
      <c r="D264" s="990">
        <f t="shared" si="105"/>
        <v>0</v>
      </c>
      <c r="E264" s="990">
        <f t="shared" si="105"/>
        <v>0</v>
      </c>
      <c r="F264" s="990">
        <f t="shared" si="105"/>
        <v>0</v>
      </c>
      <c r="G264" s="991">
        <f t="shared" si="105"/>
        <v>0</v>
      </c>
      <c r="H264" s="131"/>
      <c r="I264" s="992" t="str">
        <f t="shared" ref="I264:O264" si="106">I108</f>
        <v xml:space="preserve">TË ARDHURAT E PRITSHME </v>
      </c>
      <c r="J264" s="990">
        <f t="shared" si="106"/>
        <v>0</v>
      </c>
      <c r="K264" s="990">
        <f t="shared" si="106"/>
        <v>0</v>
      </c>
      <c r="L264" s="990">
        <f t="shared" si="106"/>
        <v>0</v>
      </c>
      <c r="M264" s="990">
        <f t="shared" si="106"/>
        <v>0</v>
      </c>
      <c r="N264" s="990">
        <f t="shared" si="106"/>
        <v>0</v>
      </c>
      <c r="O264" s="991">
        <f t="shared" si="106"/>
        <v>0</v>
      </c>
    </row>
    <row r="265" spans="1:15" ht="20.25" customHeight="1" x14ac:dyDescent="0.2">
      <c r="A265" s="211"/>
      <c r="B265" s="417">
        <f t="shared" ref="B265:G265" si="107">B109</f>
        <v>2019</v>
      </c>
      <c r="C265" s="417">
        <f t="shared" si="107"/>
        <v>2020</v>
      </c>
      <c r="D265" s="417">
        <f t="shared" si="107"/>
        <v>2021</v>
      </c>
      <c r="E265" s="251">
        <f t="shared" si="107"/>
        <v>2022</v>
      </c>
      <c r="F265" s="251">
        <f t="shared" si="107"/>
        <v>2023</v>
      </c>
      <c r="G265" s="251">
        <f t="shared" si="107"/>
        <v>2024</v>
      </c>
      <c r="H265" s="212"/>
      <c r="I265" s="414"/>
      <c r="J265" s="417">
        <f t="shared" ref="J265:O265" si="108">J109</f>
        <v>2019</v>
      </c>
      <c r="K265" s="417">
        <f t="shared" si="108"/>
        <v>2020</v>
      </c>
      <c r="L265" s="417">
        <f t="shared" si="108"/>
        <v>2021</v>
      </c>
      <c r="M265" s="251">
        <f t="shared" si="108"/>
        <v>2022</v>
      </c>
      <c r="N265" s="251">
        <f t="shared" si="108"/>
        <v>2023</v>
      </c>
      <c r="O265" s="251">
        <f t="shared" si="108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63" t="str">
        <f t="shared" ref="I267:O267" si="109">I111</f>
        <v>VLERËSIM I ARDHURAVE NGA TARIFAT</v>
      </c>
      <c r="J267" s="964">
        <f t="shared" si="109"/>
        <v>0</v>
      </c>
      <c r="K267" s="964">
        <f t="shared" si="109"/>
        <v>0</v>
      </c>
      <c r="L267" s="964">
        <f t="shared" si="109"/>
        <v>0</v>
      </c>
      <c r="M267" s="964">
        <f t="shared" si="109"/>
        <v>0</v>
      </c>
      <c r="N267" s="964">
        <f t="shared" si="109"/>
        <v>0</v>
      </c>
      <c r="O267" s="965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9" t="str">
        <f t="shared" ref="A269:G269" si="110">A113</f>
        <v>SHPENZIME TË PRITSHME</v>
      </c>
      <c r="B269" s="970">
        <f t="shared" si="110"/>
        <v>0</v>
      </c>
      <c r="C269" s="970">
        <f t="shared" si="110"/>
        <v>0</v>
      </c>
      <c r="D269" s="970">
        <f t="shared" si="110"/>
        <v>0</v>
      </c>
      <c r="E269" s="970">
        <f t="shared" si="110"/>
        <v>0</v>
      </c>
      <c r="F269" s="970">
        <f t="shared" si="110"/>
        <v>0</v>
      </c>
      <c r="G269" s="971">
        <f t="shared" si="110"/>
        <v>0</v>
      </c>
      <c r="H269" s="10"/>
    </row>
    <row r="270" spans="1:15" ht="12.75" x14ac:dyDescent="0.2">
      <c r="A270" s="963" t="str">
        <f t="shared" ref="A270:G270" si="111">A114</f>
        <v>KOSTO DIREKTE PËR PROJEKTET DHE SHPENZIMET KAPITALE</v>
      </c>
      <c r="B270" s="964">
        <f t="shared" si="111"/>
        <v>0</v>
      </c>
      <c r="C270" s="964">
        <f t="shared" si="111"/>
        <v>0</v>
      </c>
      <c r="D270" s="964">
        <f t="shared" si="111"/>
        <v>0</v>
      </c>
      <c r="E270" s="964">
        <f t="shared" si="111"/>
        <v>0</v>
      </c>
      <c r="F270" s="964">
        <f t="shared" si="111"/>
        <v>0</v>
      </c>
      <c r="G270" s="965">
        <f t="shared" si="111"/>
        <v>0</v>
      </c>
      <c r="H270" s="31"/>
      <c r="I270" s="963" t="str">
        <f t="shared" ref="I270:I275" si="112">I114</f>
        <v>VLERËSIMI I TË ARDHURAVE ME DESTINACION</v>
      </c>
      <c r="J270" s="964"/>
      <c r="K270" s="964"/>
      <c r="L270" s="964"/>
      <c r="M270" s="964"/>
      <c r="N270" s="964"/>
      <c r="O270" s="965"/>
    </row>
    <row r="271" spans="1:15" ht="12.75" x14ac:dyDescent="0.2">
      <c r="A271" s="124" t="str">
        <f t="shared" ref="A271:D271" si="113">A115</f>
        <v>Pagat</v>
      </c>
      <c r="B271" s="966">
        <f t="shared" si="113"/>
        <v>600</v>
      </c>
      <c r="C271" s="967">
        <f t="shared" si="113"/>
        <v>0</v>
      </c>
      <c r="D271" s="968">
        <f t="shared" si="113"/>
        <v>0</v>
      </c>
      <c r="E271" s="129"/>
      <c r="F271" s="129"/>
      <c r="G271" s="129"/>
      <c r="H271" s="31"/>
      <c r="I271" s="544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66">
        <f t="shared" si="114"/>
        <v>601</v>
      </c>
      <c r="C272" s="967">
        <f t="shared" si="114"/>
        <v>0</v>
      </c>
      <c r="D272" s="968">
        <f t="shared" si="114"/>
        <v>0</v>
      </c>
      <c r="E272" s="129"/>
      <c r="F272" s="129"/>
      <c r="G272" s="129"/>
      <c r="H272" s="31"/>
      <c r="I272" s="544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66">
        <f t="shared" si="115"/>
        <v>602</v>
      </c>
      <c r="C273" s="967">
        <f t="shared" si="115"/>
        <v>0</v>
      </c>
      <c r="D273" s="968">
        <f t="shared" si="115"/>
        <v>0</v>
      </c>
      <c r="E273" s="129"/>
      <c r="F273" s="129"/>
      <c r="G273" s="129"/>
      <c r="H273" s="53"/>
      <c r="I273" s="544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50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66">
        <f t="shared" si="116"/>
        <v>603</v>
      </c>
      <c r="C274" s="967">
        <f t="shared" si="116"/>
        <v>0</v>
      </c>
      <c r="D274" s="968">
        <f t="shared" si="116"/>
        <v>0</v>
      </c>
      <c r="E274" s="129"/>
      <c r="F274" s="129"/>
      <c r="G274" s="129"/>
      <c r="H274" s="8"/>
      <c r="I274" s="544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66">
        <f t="shared" si="117"/>
        <v>604</v>
      </c>
      <c r="C275" s="967">
        <f t="shared" si="117"/>
        <v>0</v>
      </c>
      <c r="D275" s="968">
        <f t="shared" si="117"/>
        <v>0</v>
      </c>
      <c r="E275" s="129"/>
      <c r="F275" s="129"/>
      <c r="G275" s="129"/>
      <c r="H275" s="53"/>
      <c r="I275" s="544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66">
        <f t="shared" si="119"/>
        <v>605</v>
      </c>
      <c r="C276" s="967">
        <f t="shared" si="119"/>
        <v>0</v>
      </c>
      <c r="D276" s="968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66">
        <f t="shared" si="120"/>
        <v>606</v>
      </c>
      <c r="C277" s="967">
        <f t="shared" si="120"/>
        <v>0</v>
      </c>
      <c r="D277" s="968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66" t="str">
        <f t="shared" si="121"/>
        <v>230 / 231</v>
      </c>
      <c r="C278" s="967">
        <f t="shared" si="121"/>
        <v>0</v>
      </c>
      <c r="D278" s="968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66">
        <f t="shared" si="122"/>
        <v>609</v>
      </c>
      <c r="C279" s="967">
        <f t="shared" si="122"/>
        <v>0</v>
      </c>
      <c r="D279" s="968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66">
        <f t="shared" si="123"/>
        <v>650</v>
      </c>
      <c r="C280" s="967">
        <f t="shared" si="123"/>
        <v>0</v>
      </c>
      <c r="D280" s="968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66" t="str">
        <f t="shared" si="124"/>
        <v>69 / ?</v>
      </c>
      <c r="C281" s="967">
        <f t="shared" si="124"/>
        <v>0</v>
      </c>
      <c r="D281" s="968">
        <f t="shared" si="124"/>
        <v>0</v>
      </c>
      <c r="E281" s="129"/>
      <c r="F281" s="129"/>
      <c r="G281" s="129"/>
      <c r="H281" s="53"/>
      <c r="I281" s="972" t="str">
        <f t="shared" ref="I281:O281" si="125">I125</f>
        <v>SHUMA E KËRKUAR NETO</v>
      </c>
      <c r="J281" s="973">
        <f t="shared" si="125"/>
        <v>0</v>
      </c>
      <c r="K281" s="973">
        <f t="shared" si="125"/>
        <v>0</v>
      </c>
      <c r="L281" s="973">
        <f t="shared" si="125"/>
        <v>0</v>
      </c>
      <c r="M281" s="973">
        <f t="shared" si="125"/>
        <v>0</v>
      </c>
      <c r="N281" s="973">
        <f t="shared" si="125"/>
        <v>0</v>
      </c>
      <c r="O281" s="974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66">
        <f t="shared" si="126"/>
        <v>0</v>
      </c>
      <c r="C282" s="967">
        <f t="shared" si="126"/>
        <v>0</v>
      </c>
      <c r="D282" s="968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75">
        <f t="shared" ref="I282:O282" si="128">I126</f>
        <v>0</v>
      </c>
      <c r="J282" s="976">
        <f t="shared" si="128"/>
        <v>0</v>
      </c>
      <c r="K282" s="976">
        <f t="shared" si="128"/>
        <v>0</v>
      </c>
      <c r="L282" s="976">
        <f t="shared" si="128"/>
        <v>0</v>
      </c>
      <c r="M282" s="976">
        <f t="shared" si="128"/>
        <v>0</v>
      </c>
      <c r="N282" s="976">
        <f t="shared" si="128"/>
        <v>0</v>
      </c>
      <c r="O282" s="977">
        <f t="shared" si="128"/>
        <v>0</v>
      </c>
    </row>
    <row r="283" spans="1:15" ht="12.75" x14ac:dyDescent="0.2">
      <c r="A283" s="963" t="str">
        <f t="shared" ref="A283:D283" si="129">A127</f>
        <v>SHPENZIME KORRENTE</v>
      </c>
      <c r="B283" s="964">
        <f t="shared" si="129"/>
        <v>0</v>
      </c>
      <c r="C283" s="964">
        <f t="shared" si="129"/>
        <v>0</v>
      </c>
      <c r="D283" s="964">
        <f t="shared" si="129"/>
        <v>0</v>
      </c>
      <c r="E283" s="964">
        <f>E127</f>
        <v>0</v>
      </c>
      <c r="F283" s="964">
        <f>F127</f>
        <v>0</v>
      </c>
      <c r="G283" s="965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66">
        <f t="shared" si="136"/>
        <v>600</v>
      </c>
      <c r="C284" s="967">
        <f t="shared" si="136"/>
        <v>0</v>
      </c>
      <c r="D284" s="968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66">
        <f t="shared" si="137"/>
        <v>601</v>
      </c>
      <c r="C285" s="967">
        <f t="shared" si="137"/>
        <v>0</v>
      </c>
      <c r="D285" s="968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66">
        <f t="shared" si="138"/>
        <v>602</v>
      </c>
      <c r="C286" s="967">
        <f t="shared" si="138"/>
        <v>0</v>
      </c>
      <c r="D286" s="968">
        <f t="shared" si="138"/>
        <v>0</v>
      </c>
      <c r="E286" s="37"/>
      <c r="F286" s="37"/>
      <c r="G286" s="37"/>
      <c r="H286" s="53"/>
      <c r="I286" s="544" t="str">
        <f>I247</f>
        <v>Angazhimet</v>
      </c>
      <c r="J286" s="1027" t="str">
        <f>J247</f>
        <v>Vlera Totale për Aktivitet</v>
      </c>
      <c r="K286" s="1028"/>
      <c r="L286" s="10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66">
        <f t="shared" si="139"/>
        <v>603</v>
      </c>
      <c r="C287" s="967">
        <f t="shared" si="139"/>
        <v>0</v>
      </c>
      <c r="D287" s="968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1027" t="str">
        <f>J248</f>
        <v>Shpenzimet kapitale</v>
      </c>
      <c r="K287" s="1028"/>
      <c r="L287" s="1029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66">
        <f t="shared" si="140"/>
        <v>604</v>
      </c>
      <c r="C288" s="967">
        <f t="shared" si="140"/>
        <v>0</v>
      </c>
      <c r="D288" s="968">
        <f t="shared" si="140"/>
        <v>0</v>
      </c>
      <c r="E288" s="37"/>
      <c r="F288" s="37"/>
      <c r="G288" s="37"/>
      <c r="H288" s="53"/>
      <c r="I288" s="315"/>
      <c r="J288" s="1027" t="str">
        <f>J249</f>
        <v>Mallra dhe shërbime</v>
      </c>
      <c r="K288" s="1028"/>
      <c r="L288" s="1029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66">
        <f t="shared" si="141"/>
        <v>605</v>
      </c>
      <c r="C289" s="967">
        <f t="shared" si="141"/>
        <v>0</v>
      </c>
      <c r="D289" s="968">
        <f t="shared" si="141"/>
        <v>0</v>
      </c>
      <c r="E289" s="37"/>
      <c r="F289" s="37"/>
      <c r="G289" s="37"/>
      <c r="H289" s="53"/>
      <c r="I289" s="315"/>
      <c r="J289" s="1027" t="str">
        <f>J250</f>
        <v>Qëllime të mëtejshme</v>
      </c>
      <c r="K289" s="1028"/>
      <c r="L289" s="1029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66">
        <f t="shared" si="142"/>
        <v>606</v>
      </c>
      <c r="C290" s="967">
        <f t="shared" si="142"/>
        <v>0</v>
      </c>
      <c r="D290" s="968">
        <f t="shared" si="142"/>
        <v>0</v>
      </c>
      <c r="E290" s="37"/>
      <c r="F290" s="37"/>
      <c r="G290" s="37"/>
      <c r="H290" s="53"/>
      <c r="I290" s="315"/>
      <c r="J290" s="1023"/>
      <c r="K290" s="1023"/>
      <c r="L290" s="1023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ref="A291:D291" si="143">A135</f>
        <v>Shpenzimet kapitale</v>
      </c>
      <c r="B291" s="993" t="str">
        <f t="shared" si="143"/>
        <v>230 / 231</v>
      </c>
      <c r="C291" s="994">
        <f t="shared" si="143"/>
        <v>0</v>
      </c>
      <c r="D291" s="995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66">
        <f t="shared" si="144"/>
        <v>609</v>
      </c>
      <c r="C292" s="967">
        <f t="shared" si="144"/>
        <v>0</v>
      </c>
      <c r="D292" s="968">
        <f t="shared" si="144"/>
        <v>0</v>
      </c>
      <c r="E292" s="37"/>
      <c r="F292" s="37"/>
      <c r="G292" s="37"/>
      <c r="H292" s="53"/>
      <c r="I292" s="419">
        <f>M265</f>
        <v>2022</v>
      </c>
      <c r="J292" s="1008"/>
      <c r="K292" s="1009"/>
      <c r="L292" s="1009"/>
      <c r="M292" s="1009"/>
      <c r="N292" s="1009"/>
      <c r="O292" s="1010"/>
    </row>
    <row r="293" spans="1:15" ht="12.75" x14ac:dyDescent="0.2">
      <c r="A293" s="124" t="str">
        <f t="shared" ref="A293:D293" si="145">A137</f>
        <v>Interesa per kredi direkte ose bono</v>
      </c>
      <c r="B293" s="996">
        <f t="shared" si="145"/>
        <v>650</v>
      </c>
      <c r="C293" s="997">
        <f t="shared" si="145"/>
        <v>0</v>
      </c>
      <c r="D293" s="998">
        <f t="shared" si="145"/>
        <v>0</v>
      </c>
      <c r="E293" s="37"/>
      <c r="F293" s="37"/>
      <c r="G293" s="37"/>
      <c r="H293" s="53"/>
      <c r="I293" s="420"/>
      <c r="J293" s="1011"/>
      <c r="K293" s="1012"/>
      <c r="L293" s="1012"/>
      <c r="M293" s="1012"/>
      <c r="N293" s="1012"/>
      <c r="O293" s="1013"/>
    </row>
    <row r="294" spans="1:15" ht="12.75" x14ac:dyDescent="0.2">
      <c r="A294" s="544" t="str">
        <f>A138</f>
        <v>Të tjera</v>
      </c>
      <c r="B294" s="966" t="str">
        <f>B138</f>
        <v>69 / ?</v>
      </c>
      <c r="C294" s="967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2023</v>
      </c>
      <c r="J294" s="1008"/>
      <c r="K294" s="1009"/>
      <c r="L294" s="1009"/>
      <c r="M294" s="1009"/>
      <c r="N294" s="1009"/>
      <c r="O294" s="1010"/>
    </row>
    <row r="295" spans="1:15" ht="12.75" x14ac:dyDescent="0.2">
      <c r="A295" s="124" t="str">
        <f>A139</f>
        <v>SHPENZIME KORRENTE</v>
      </c>
      <c r="B295" s="999"/>
      <c r="C295" s="1000"/>
      <c r="D295" s="1001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1014"/>
      <c r="K295" s="1015"/>
      <c r="L295" s="1015"/>
      <c r="M295" s="1015"/>
      <c r="N295" s="1015"/>
      <c r="O295" s="1016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1008"/>
      <c r="K296" s="1009"/>
      <c r="L296" s="1009"/>
      <c r="M296" s="1009"/>
      <c r="N296" s="1009"/>
      <c r="O296" s="1010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1014"/>
      <c r="K297" s="1015"/>
      <c r="L297" s="1015"/>
      <c r="M297" s="1015"/>
      <c r="N297" s="1015"/>
      <c r="O297" s="1016"/>
    </row>
  </sheetData>
  <sheetProtection algorithmName="SHA-512" hashValue="9c1WIph+cwY2AwWTtvsTZMac26ccLdgG0RjgOk65TyaB00DUlj25pjZruoVGyRckQwxPTT7tXzi5WyCqmZy4rQ==" saltValue="HyMbpCLD6GCtJfC7eQ/cTA==" spinCount="100000"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A84" zoomScaleNormal="100" workbookViewId="0">
      <selection activeCell="F215" sqref="F21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Fjalori'!A70</f>
        <v>Nënfunksioni 7</v>
      </c>
      <c r="B2" s="860" t="str">
        <f>+VLOOKUP($A2,'(B2) Struktura Organizative'!$A7:$E68,2,FALSE)</f>
        <v>042 Bujqësia, pyjet, peshkimi dhe gjuetia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Funksionale'!A42</f>
        <v>Programi 7a</v>
      </c>
      <c r="B6" s="940"/>
      <c r="C6" s="941" t="str">
        <f>VLOOKUP($A6,'(B3) Struktura Funksionale'!$A$7:$E$146,3,FALSE)</f>
        <v>Shërbimet bujqësore, inspektimi, ushqimi dhe mbrojtja e konsumatoreve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hidden="1" customHeight="1" x14ac:dyDescent="0.2">
      <c r="A7" s="939" t="str">
        <f>'(B3) Struktura Funksionale'!A43</f>
        <v>Programi 7b</v>
      </c>
      <c r="B7" s="940"/>
      <c r="C7" s="941" t="str">
        <f>VLOOKUP($A7,'(B3) Struktura Funksionale'!$A$7:$E$146,3,FALSE)</f>
        <v>Këshillimi Bujqësor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hidden="1" customHeight="1" x14ac:dyDescent="0.2">
      <c r="A8" s="939" t="str">
        <f>'(B3) Struktura Funksionale'!A44</f>
        <v>Programi 7c</v>
      </c>
      <c r="B8" s="940"/>
      <c r="C8" s="941" t="str">
        <f>VLOOKUP($A8,'(B3) Struktura Funksionale'!$A$7:$E$146,3,FALSE)</f>
        <v>Veterineria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customHeight="1" x14ac:dyDescent="0.2">
      <c r="A9" s="939" t="str">
        <f>'(B3) Struktura Funksionale'!A45</f>
        <v>Programi 7d</v>
      </c>
      <c r="B9" s="940"/>
      <c r="C9" s="941" t="str">
        <f>VLOOKUP($A9,'(B3) Struktura Funksionale'!$A$7:$E$146,3,FALSE)</f>
        <v>Menaxhimi i Infrastruktuës së ujitjes dhe kullimit</v>
      </c>
      <c r="D9" s="942"/>
      <c r="E9" s="942"/>
      <c r="F9" s="942"/>
      <c r="G9" s="942"/>
      <c r="H9" s="943"/>
      <c r="I9" s="941" t="str">
        <f>VLOOKUP($A9,'(B3) Struktura Funksionale'!$A$7:$E$146,4,FALSE)</f>
        <v>E detyrueshme</v>
      </c>
      <c r="J9" s="942"/>
      <c r="K9" s="943"/>
      <c r="L9" s="941" t="str">
        <f>VLOOKUP($A9,'(B3) Struktura Funksionale'!$A$7:$E$146,5,FALSE)</f>
        <v>Transferuar</v>
      </c>
      <c r="M9" s="942"/>
      <c r="N9" s="942"/>
      <c r="O9" s="943"/>
    </row>
    <row r="10" spans="1:15" ht="13.5" customHeight="1" x14ac:dyDescent="0.2">
      <c r="A10" s="939" t="str">
        <f>'(B3) Struktura Funksionale'!A46</f>
        <v>Programi 7e</v>
      </c>
      <c r="B10" s="940"/>
      <c r="C10" s="941" t="str">
        <f>VLOOKUP($A10,'(B3) Struktura Funksionale'!$A$7:$E$146,3,FALSE)</f>
        <v>Administrimi i pyjeve dhe kullotave</v>
      </c>
      <c r="D10" s="942"/>
      <c r="E10" s="942"/>
      <c r="F10" s="942"/>
      <c r="G10" s="942"/>
      <c r="H10" s="943"/>
      <c r="I10" s="941" t="str">
        <f>VLOOKUP($A10,'(B3) Struktura Funksionale'!$A$7:$E$146,4,FALSE)</f>
        <v>E detyrueshme</v>
      </c>
      <c r="J10" s="942"/>
      <c r="K10" s="943"/>
      <c r="L10" s="941" t="str">
        <f>VLOOKUP($A10,'(B3) Struktura Funksionale'!$A$7:$E$146,5,FALSE)</f>
        <v>Transferuar</v>
      </c>
      <c r="M10" s="942"/>
      <c r="N10" s="942"/>
      <c r="O10" s="943"/>
    </row>
    <row r="11" spans="1:15" ht="13.5" customHeight="1" x14ac:dyDescent="0.2">
      <c r="A11" s="939" t="str">
        <f>'(B3) Struktura Funksionale'!A47</f>
        <v>Programi 7f</v>
      </c>
      <c r="B11" s="940"/>
      <c r="C11" s="941">
        <f>VLOOKUP($A11,'(B3) Struktura Funksionale'!$A$7:$E$146,3,FALSE)</f>
        <v>0</v>
      </c>
      <c r="D11" s="942"/>
      <c r="E11" s="942"/>
      <c r="F11" s="942"/>
      <c r="G11" s="942"/>
      <c r="H11" s="943"/>
      <c r="I11" s="941">
        <f>VLOOKUP($A11,'(B3) Struktura Funksionale'!$A$7:$E$146,4,FALSE)</f>
        <v>0</v>
      </c>
      <c r="J11" s="942"/>
      <c r="K11" s="943"/>
      <c r="L11" s="941">
        <f>VLOOKUP($A11,'(B3) Struktura Funksionale'!$A$7:$E$146,5,FALSE)</f>
        <v>0</v>
      </c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7</v>
      </c>
      <c r="B14" s="962" t="str">
        <f>B$2</f>
        <v>042 Bujqësia, pyjet, peshkimi dhe gjuetia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22382</v>
      </c>
      <c r="C18" s="34">
        <f t="shared" si="1"/>
        <v>22382</v>
      </c>
      <c r="D18" s="34">
        <f t="shared" si="1"/>
        <v>22382</v>
      </c>
      <c r="E18" s="129">
        <f t="shared" si="1"/>
        <v>17402</v>
      </c>
      <c r="F18" s="129">
        <f t="shared" si="1"/>
        <v>20402</v>
      </c>
      <c r="G18" s="129">
        <f t="shared" si="1"/>
        <v>17402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5013</v>
      </c>
      <c r="K19" s="35">
        <f t="shared" si="2"/>
        <v>5013</v>
      </c>
      <c r="L19" s="34">
        <f t="shared" si="2"/>
        <v>5013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17369</v>
      </c>
      <c r="L27" s="34">
        <f>L80+L119+L158+L197+L236+L275</f>
        <v>17369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14132</v>
      </c>
      <c r="F29" s="305">
        <f t="shared" si="3"/>
        <v>16632</v>
      </c>
      <c r="G29" s="305">
        <f t="shared" si="3"/>
        <v>14132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5013</v>
      </c>
      <c r="K29" s="34">
        <f t="shared" si="5"/>
        <v>22382</v>
      </c>
      <c r="L29" s="34">
        <f t="shared" si="5"/>
        <v>22382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14132</v>
      </c>
      <c r="F33" s="129">
        <f t="shared" si="3"/>
        <v>16632</v>
      </c>
      <c r="G33" s="129">
        <f t="shared" si="3"/>
        <v>14132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J88+J127+J166+J205+J244+J283</f>
        <v>17369</v>
      </c>
      <c r="K34" s="18">
        <f t="shared" si="6"/>
        <v>0</v>
      </c>
      <c r="L34" s="18">
        <f t="shared" si="6"/>
        <v>0</v>
      </c>
      <c r="M34" s="18">
        <f t="shared" si="6"/>
        <v>17402</v>
      </c>
      <c r="N34" s="18">
        <f t="shared" si="6"/>
        <v>20402</v>
      </c>
      <c r="O34" s="18">
        <f t="shared" si="6"/>
        <v>17402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E89+E128+E167+E206+E245+E284</f>
        <v>2656</v>
      </c>
      <c r="F35" s="305">
        <f t="shared" si="7"/>
        <v>3056</v>
      </c>
      <c r="G35" s="305">
        <f t="shared" si="7"/>
        <v>2656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444</v>
      </c>
      <c r="F36" s="305">
        <f t="shared" si="7"/>
        <v>544</v>
      </c>
      <c r="G36" s="305">
        <f t="shared" si="7"/>
        <v>444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170</v>
      </c>
      <c r="F37" s="305">
        <f t="shared" si="7"/>
        <v>170</v>
      </c>
      <c r="G37" s="305">
        <f t="shared" si="7"/>
        <v>170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3270</v>
      </c>
      <c r="F46" s="129">
        <f t="shared" si="7"/>
        <v>3770</v>
      </c>
      <c r="G46" s="129">
        <f t="shared" si="7"/>
        <v>3270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22382</v>
      </c>
      <c r="C48" s="34">
        <f t="shared" si="11"/>
        <v>22382</v>
      </c>
      <c r="D48" s="34">
        <f t="shared" si="11"/>
        <v>22382</v>
      </c>
      <c r="E48" s="129">
        <f t="shared" si="11"/>
        <v>17402</v>
      </c>
      <c r="F48" s="129">
        <f t="shared" si="11"/>
        <v>20402</v>
      </c>
      <c r="G48" s="129">
        <f t="shared" si="11"/>
        <v>17402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17402</v>
      </c>
      <c r="N52" s="138">
        <f>VLOOKUP($A14,'(D1) Tavanet buxhetore'!$A$7:$R$473,8,FALSE)</f>
        <v>20402</v>
      </c>
      <c r="O52" s="673">
        <f>VLOOKUP($A14,'(D1) Tavanet buxhetore'!$A$7:$R$473,9,FALSE)</f>
        <v>17402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17402</v>
      </c>
      <c r="N53" s="139">
        <f t="shared" ref="N53:O53" si="13">F18</f>
        <v>20402</v>
      </c>
      <c r="O53" s="674">
        <f t="shared" si="13"/>
        <v>17402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3100</v>
      </c>
      <c r="N55" s="138">
        <f>VLOOKUP($A14,'(D1) Tavanet buxhetore'!$A$7:$R$473,11,FALSE)</f>
        <v>3600</v>
      </c>
      <c r="O55" s="673">
        <f>VLOOKUP($A14,'(D1) Tavanet buxhetore'!$A$7:$R$473,12,FALSE)</f>
        <v>3100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3100</v>
      </c>
      <c r="N56" s="139">
        <f t="shared" ref="N56:O56" si="15">F22+F35+F23+F36</f>
        <v>3600</v>
      </c>
      <c r="O56" s="674">
        <f t="shared" si="15"/>
        <v>3100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170</v>
      </c>
      <c r="N58" s="138">
        <f>VLOOKUP($A14,'(D1) Tavanet buxhetore'!$A$7:$R$473,14,FALSE)</f>
        <v>170</v>
      </c>
      <c r="O58" s="673">
        <f>VLOOKUP($A14,'(D1) Tavanet buxhetore'!$A$7:$R$473,15,FALSE)</f>
        <v>170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170</v>
      </c>
      <c r="N59" s="139">
        <f>N53-N56-N62</f>
        <v>170</v>
      </c>
      <c r="O59" s="674">
        <f>O53-O56-O62</f>
        <v>170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14132</v>
      </c>
      <c r="N61" s="138">
        <f>VLOOKUP($A14,'(D1) Tavanet buxhetore'!$A$7:$R$473,17,FALSE)</f>
        <v>16632</v>
      </c>
      <c r="O61" s="673">
        <f>VLOOKUP($A14,'(D1) Tavanet buxhetore'!$A$7:$R$473,18,FALSE)</f>
        <v>14132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14132</v>
      </c>
      <c r="N62" s="139">
        <f t="shared" ref="N62:O62" si="18">F29+F42</f>
        <v>16632</v>
      </c>
      <c r="O62" s="674">
        <f t="shared" si="18"/>
        <v>14132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62" t="str">
        <f t="shared" si="20"/>
        <v>042 Bujqësia, pyjet, peshkimi dhe gjuetia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7a</v>
      </c>
      <c r="B67" s="962" t="str">
        <f>C6</f>
        <v>Shërbimet bujqësore, inspektimi, ushqimi dhe mbrojtja e konsumatoreve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Funksionale'!B42</f>
        <v>04220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hidden="1" customHeight="1" x14ac:dyDescent="0.2">
      <c r="A105" s="213" t="str">
        <f t="shared" ref="A105:O105" si="36">A66</f>
        <v>Nënfunksioni 7</v>
      </c>
      <c r="B105" s="962" t="str">
        <f t="shared" si="36"/>
        <v>042 Bujqësia, pyjet, peshkimi dhe gjuetia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7b</v>
      </c>
      <c r="B106" s="962" t="str">
        <f>C7</f>
        <v>Këshillimi Bujqësor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Funksionale'!B43</f>
        <v>04222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8" t="str">
        <f t="shared" ref="A108:G108" si="37">A69</f>
        <v>SHPENZIME TË PRITSHME</v>
      </c>
      <c r="B108" s="959">
        <f t="shared" si="37"/>
        <v>0</v>
      </c>
      <c r="C108" s="959">
        <f t="shared" si="37"/>
        <v>0</v>
      </c>
      <c r="D108" s="959">
        <f t="shared" si="37"/>
        <v>0</v>
      </c>
      <c r="E108" s="959">
        <f t="shared" si="37"/>
        <v>0</v>
      </c>
      <c r="F108" s="959">
        <f t="shared" si="37"/>
        <v>0</v>
      </c>
      <c r="G108" s="979">
        <f t="shared" si="37"/>
        <v>0</v>
      </c>
      <c r="H108" s="131"/>
      <c r="I108" s="980" t="str">
        <f t="shared" ref="I108:O108" si="38">I69</f>
        <v xml:space="preserve">TË ARDHURAT E PRITSHME </v>
      </c>
      <c r="J108" s="959">
        <f t="shared" si="38"/>
        <v>0</v>
      </c>
      <c r="K108" s="959">
        <f t="shared" si="38"/>
        <v>0</v>
      </c>
      <c r="L108" s="959">
        <f t="shared" si="38"/>
        <v>0</v>
      </c>
      <c r="M108" s="959">
        <f t="shared" si="38"/>
        <v>0</v>
      </c>
      <c r="N108" s="959">
        <f t="shared" si="38"/>
        <v>0</v>
      </c>
      <c r="O108" s="97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37"/>
      <c r="F125" s="37"/>
      <c r="G125" s="37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62" t="str">
        <f t="shared" si="53"/>
        <v>042 Bujqësia, pyjet, peshkimi dhe gjuetia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hidden="1" customHeight="1" x14ac:dyDescent="0.2">
      <c r="A145" s="276" t="str">
        <f>A8</f>
        <v>Programi 7c</v>
      </c>
      <c r="B145" s="962" t="str">
        <f>C8</f>
        <v>Veterineria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hidden="1" customHeight="1" x14ac:dyDescent="0.2">
      <c r="A146" s="647" t="str">
        <f>'(B3) Struktura Funksionale'!B44</f>
        <v>04223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hidden="1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hidden="1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37"/>
      <c r="F164" s="37"/>
      <c r="G164" s="37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hidden="1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hidden="1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hidden="1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hidden="1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62" t="str">
        <f t="shared" si="70"/>
        <v>042 Bujqësia, pyjet, peshkimi dhe gjuetia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x14ac:dyDescent="0.2">
      <c r="A184" s="276" t="str">
        <f>A9</f>
        <v>Programi 7d</v>
      </c>
      <c r="B184" s="962" t="str">
        <f>C9</f>
        <v>Menaxhimi i Infrastruktuës së ujitjes dhe kullimit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647" t="str">
        <f>'(B3) Struktura Funksionale'!B45</f>
        <v>04240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15529</v>
      </c>
      <c r="C189" s="34">
        <f>VLOOKUP(A184,'(C1) Shpenzimet vitet e kaluara'!A$9:O$177,9,FALSE)</f>
        <v>15529</v>
      </c>
      <c r="D189" s="34">
        <f>VLOOKUP(A184,'(C1) Shpenzimet vitet e kaluara'!A$9:O$177,13,FALSE)</f>
        <v>15529</v>
      </c>
      <c r="E189" s="37">
        <v>17402</v>
      </c>
      <c r="F189" s="37">
        <v>20402</v>
      </c>
      <c r="G189" s="37">
        <v>17402</v>
      </c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5013</v>
      </c>
      <c r="K190" s="35">
        <f>VLOOKUP($A184,'(C1) Shpenzimet vitet e kaluara'!$A$9:$O$177,10,FALSE)</f>
        <v>5013</v>
      </c>
      <c r="L190" s="35">
        <f>VLOOKUP($A184,'(C1) Shpenzimet vitet e kaluara'!$A$9:$O$177,14,FALSE)</f>
        <v>5013</v>
      </c>
      <c r="M190" s="37"/>
      <c r="N190" s="37"/>
      <c r="O190" s="37"/>
    </row>
    <row r="191" spans="1:15" ht="12.75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10516</v>
      </c>
      <c r="L197" s="35">
        <f>VLOOKUP($A184,'(C1) Shpenzimet vitet e kaluara'!$A$9:$O$177,15,FALSE)</f>
        <v>10516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5013</v>
      </c>
      <c r="K199" s="34">
        <f>K190+K197</f>
        <v>15529</v>
      </c>
      <c r="L199" s="34">
        <f>L190+L197</f>
        <v>15529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>
        <v>14132</v>
      </c>
      <c r="F200" s="37">
        <v>16632</v>
      </c>
      <c r="G200" s="37">
        <v>14132</v>
      </c>
      <c r="H200" s="53"/>
    </row>
    <row r="201" spans="1:15" ht="12.75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129"/>
      <c r="F203" s="129"/>
      <c r="G203" s="129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14132</v>
      </c>
      <c r="F204" s="129">
        <f t="shared" ref="F204:G204" si="81">SUM(F193:F203)</f>
        <v>16632</v>
      </c>
      <c r="G204" s="129">
        <f t="shared" si="81"/>
        <v>14132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10516</v>
      </c>
      <c r="K205" s="18">
        <f t="shared" si="82"/>
        <v>0</v>
      </c>
      <c r="L205" s="18">
        <f t="shared" si="82"/>
        <v>0</v>
      </c>
      <c r="M205" s="18">
        <f t="shared" si="82"/>
        <v>17402</v>
      </c>
      <c r="N205" s="18">
        <f t="shared" si="82"/>
        <v>20402</v>
      </c>
      <c r="O205" s="18">
        <f t="shared" si="82"/>
        <v>17402</v>
      </c>
    </row>
    <row r="206" spans="1:15" ht="12.75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>
        <v>2656</v>
      </c>
      <c r="F206" s="37">
        <f>2656+400</f>
        <v>3056</v>
      </c>
      <c r="G206" s="37">
        <v>2656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>
        <v>444</v>
      </c>
      <c r="F207" s="37">
        <f>444+100</f>
        <v>544</v>
      </c>
      <c r="G207" s="37">
        <v>444</v>
      </c>
      <c r="H207" s="53"/>
    </row>
    <row r="208" spans="1:15" ht="12.75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>
        <v>170</v>
      </c>
      <c r="F208" s="37">
        <v>170</v>
      </c>
      <c r="G208" s="37">
        <v>170</v>
      </c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3270</v>
      </c>
      <c r="F217" s="129">
        <f t="shared" ref="F217:G217" si="84">SUM(F206:F216)</f>
        <v>3770</v>
      </c>
      <c r="G217" s="129">
        <f t="shared" si="84"/>
        <v>3270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15529</v>
      </c>
      <c r="C219" s="34">
        <f t="shared" ref="C219:D219" si="85">C189</f>
        <v>15529</v>
      </c>
      <c r="D219" s="34">
        <f t="shared" si="85"/>
        <v>15529</v>
      </c>
      <c r="E219" s="129">
        <f>E204+E217</f>
        <v>17402</v>
      </c>
      <c r="F219" s="129">
        <f>F204+F217</f>
        <v>20402</v>
      </c>
      <c r="G219" s="129">
        <f t="shared" ref="G219" si="86">G204+G217</f>
        <v>17402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customHeight="1" x14ac:dyDescent="0.2">
      <c r="A222" s="213" t="str">
        <f t="shared" ref="A222:O222" si="87">A66</f>
        <v>Nënfunksioni 7</v>
      </c>
      <c r="B222" s="962" t="str">
        <f t="shared" si="87"/>
        <v>042 Bujqësia, pyjet, peshkimi dhe gjuetia</v>
      </c>
      <c r="C222" s="962">
        <f t="shared" si="87"/>
        <v>0</v>
      </c>
      <c r="D222" s="962">
        <f t="shared" si="87"/>
        <v>0</v>
      </c>
      <c r="E222" s="962">
        <f t="shared" si="87"/>
        <v>0</v>
      </c>
      <c r="F222" s="962">
        <f t="shared" si="87"/>
        <v>0</v>
      </c>
      <c r="G222" s="962">
        <f t="shared" si="87"/>
        <v>0</v>
      </c>
      <c r="H222" s="962">
        <f t="shared" si="87"/>
        <v>0</v>
      </c>
      <c r="I222" s="962">
        <f t="shared" si="87"/>
        <v>0</v>
      </c>
      <c r="J222" s="962">
        <f t="shared" si="87"/>
        <v>0</v>
      </c>
      <c r="K222" s="962">
        <f t="shared" si="87"/>
        <v>0</v>
      </c>
      <c r="L222" s="962">
        <f t="shared" si="87"/>
        <v>0</v>
      </c>
      <c r="M222" s="962">
        <f t="shared" si="87"/>
        <v>0</v>
      </c>
      <c r="N222" s="962">
        <f t="shared" si="87"/>
        <v>0</v>
      </c>
      <c r="O222" s="962">
        <f t="shared" si="87"/>
        <v>0</v>
      </c>
    </row>
    <row r="223" spans="1:15" ht="17.25" customHeight="1" x14ac:dyDescent="0.2">
      <c r="A223" s="276" t="str">
        <f>A10</f>
        <v>Programi 7e</v>
      </c>
      <c r="B223" s="962" t="str">
        <f>C10</f>
        <v>Administrimi i pyjeve dhe kullotave</v>
      </c>
      <c r="C223" s="962" t="e">
        <f>#REF!</f>
        <v>#REF!</v>
      </c>
      <c r="D223" s="962" t="e">
        <f>#REF!</f>
        <v>#REF!</v>
      </c>
      <c r="E223" s="962" t="e">
        <f>#REF!</f>
        <v>#REF!</v>
      </c>
      <c r="F223" s="962" t="e">
        <f>#REF!</f>
        <v>#REF!</v>
      </c>
      <c r="G223" s="962" t="e">
        <f>#REF!</f>
        <v>#REF!</v>
      </c>
      <c r="H223" s="962" t="e">
        <f>#REF!</f>
        <v>#REF!</v>
      </c>
      <c r="I223" s="962" t="e">
        <f>#REF!</f>
        <v>#REF!</v>
      </c>
      <c r="J223" s="962" t="e">
        <f>#REF!</f>
        <v>#REF!</v>
      </c>
      <c r="K223" s="962" t="e">
        <f>#REF!</f>
        <v>#REF!</v>
      </c>
      <c r="L223" s="962" t="e">
        <f>#REF!</f>
        <v>#REF!</v>
      </c>
      <c r="M223" s="962" t="e">
        <f>#REF!</f>
        <v>#REF!</v>
      </c>
      <c r="N223" s="962" t="e">
        <f>#REF!</f>
        <v>#REF!</v>
      </c>
      <c r="O223" s="962" t="e">
        <f>#REF!</f>
        <v>#REF!</v>
      </c>
    </row>
    <row r="224" spans="1:15" ht="17.25" customHeight="1" x14ac:dyDescent="0.2">
      <c r="A224" s="647" t="str">
        <f>'(B3) Struktura Funksionale'!B46</f>
        <v>04260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9" t="str">
        <f t="shared" ref="A225:G225" si="88">A69</f>
        <v>SHPENZIME TË PRITSHME</v>
      </c>
      <c r="B225" s="990">
        <f t="shared" si="88"/>
        <v>0</v>
      </c>
      <c r="C225" s="990">
        <f t="shared" si="88"/>
        <v>0</v>
      </c>
      <c r="D225" s="990">
        <f t="shared" si="88"/>
        <v>0</v>
      </c>
      <c r="E225" s="990">
        <f t="shared" si="88"/>
        <v>0</v>
      </c>
      <c r="F225" s="990">
        <f t="shared" si="88"/>
        <v>0</v>
      </c>
      <c r="G225" s="991">
        <f t="shared" si="88"/>
        <v>0</v>
      </c>
      <c r="H225" s="131"/>
      <c r="I225" s="992" t="str">
        <f t="shared" ref="I225:O225" si="89">I69</f>
        <v xml:space="preserve">TË ARDHURAT E PRITSHME </v>
      </c>
      <c r="J225" s="990">
        <f t="shared" si="89"/>
        <v>0</v>
      </c>
      <c r="K225" s="990">
        <f t="shared" si="89"/>
        <v>0</v>
      </c>
      <c r="L225" s="990">
        <f t="shared" si="89"/>
        <v>0</v>
      </c>
      <c r="M225" s="990">
        <f t="shared" si="89"/>
        <v>0</v>
      </c>
      <c r="N225" s="990">
        <f t="shared" si="89"/>
        <v>0</v>
      </c>
      <c r="O225" s="991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6853</v>
      </c>
      <c r="C228" s="34">
        <f>VLOOKUP(A223,'(C1) Shpenzimet vitet e kaluara'!A$9:O$177,9,FALSE)</f>
        <v>6853</v>
      </c>
      <c r="D228" s="34">
        <f>VLOOKUP(A223,'(C1) Shpenzimet vitet e kaluara'!A$9:O$177,13,FALSE)</f>
        <v>6853</v>
      </c>
      <c r="E228" s="37"/>
      <c r="F228" s="37"/>
      <c r="G228" s="37"/>
      <c r="H228" s="131"/>
      <c r="I228" s="963" t="str">
        <f t="shared" ref="I228:O228" si="92">I72</f>
        <v>VLERËSIM I ARDHURAVE NGA TARIFAT</v>
      </c>
      <c r="J228" s="964">
        <f t="shared" si="92"/>
        <v>0</v>
      </c>
      <c r="K228" s="964">
        <f t="shared" si="92"/>
        <v>0</v>
      </c>
      <c r="L228" s="964">
        <f t="shared" si="92"/>
        <v>0</v>
      </c>
      <c r="M228" s="964">
        <f t="shared" si="92"/>
        <v>0</v>
      </c>
      <c r="N228" s="964">
        <f t="shared" si="92"/>
        <v>0</v>
      </c>
      <c r="O228" s="965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69" t="str">
        <f t="shared" ref="A230:G231" si="93">A74</f>
        <v>SHPENZIME TË PRITSHME</v>
      </c>
      <c r="B230" s="970">
        <f t="shared" si="93"/>
        <v>0</v>
      </c>
      <c r="C230" s="970">
        <f t="shared" si="93"/>
        <v>0</v>
      </c>
      <c r="D230" s="970">
        <f t="shared" si="93"/>
        <v>0</v>
      </c>
      <c r="E230" s="970">
        <f t="shared" si="93"/>
        <v>0</v>
      </c>
      <c r="F230" s="970">
        <f t="shared" si="93"/>
        <v>0</v>
      </c>
      <c r="G230" s="971">
        <f t="shared" si="93"/>
        <v>0</v>
      </c>
      <c r="H230" s="10"/>
    </row>
    <row r="231" spans="1:15" ht="12.75" x14ac:dyDescent="0.2">
      <c r="A231" s="963" t="str">
        <f t="shared" si="93"/>
        <v>KOSTO DIREKTE PËR PROJEKTET DHE SHPENZIMET KAPITALE</v>
      </c>
      <c r="B231" s="964">
        <f t="shared" si="93"/>
        <v>0</v>
      </c>
      <c r="C231" s="964">
        <f t="shared" si="93"/>
        <v>0</v>
      </c>
      <c r="D231" s="964">
        <f t="shared" si="93"/>
        <v>0</v>
      </c>
      <c r="E231" s="964">
        <f t="shared" si="93"/>
        <v>0</v>
      </c>
      <c r="F231" s="964">
        <f t="shared" si="93"/>
        <v>0</v>
      </c>
      <c r="G231" s="965">
        <f t="shared" si="93"/>
        <v>0</v>
      </c>
      <c r="H231" s="31"/>
      <c r="I231" s="963" t="str">
        <f t="shared" ref="I231:I236" si="94">I75</f>
        <v>VLERËSIMI I TË ARDHURAVE ME DESTINACION</v>
      </c>
      <c r="J231" s="964"/>
      <c r="K231" s="964"/>
      <c r="L231" s="964"/>
      <c r="M231" s="964"/>
      <c r="N231" s="964"/>
      <c r="O231" s="965"/>
    </row>
    <row r="232" spans="1:15" ht="12.75" x14ac:dyDescent="0.2">
      <c r="A232" s="124" t="str">
        <f t="shared" ref="A232:D254" si="95">A76</f>
        <v>Pagat</v>
      </c>
      <c r="B232" s="966">
        <f t="shared" si="95"/>
        <v>600</v>
      </c>
      <c r="C232" s="967">
        <f t="shared" si="95"/>
        <v>0</v>
      </c>
      <c r="D232" s="968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66">
        <f t="shared" si="95"/>
        <v>601</v>
      </c>
      <c r="C233" s="967">
        <f t="shared" si="95"/>
        <v>0</v>
      </c>
      <c r="D233" s="968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66">
        <f t="shared" si="95"/>
        <v>602</v>
      </c>
      <c r="C234" s="967">
        <f t="shared" si="95"/>
        <v>0</v>
      </c>
      <c r="D234" s="968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8">
        <f>VLOOKUP($A223,'(C4) Trashëgimi me destinacion'!$A$8:$F$168,5,FALSE)</f>
        <v>0</v>
      </c>
      <c r="O234" s="550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66">
        <f t="shared" si="95"/>
        <v>603</v>
      </c>
      <c r="C235" s="967">
        <f t="shared" si="95"/>
        <v>0</v>
      </c>
      <c r="D235" s="968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66">
        <f t="shared" si="95"/>
        <v>604</v>
      </c>
      <c r="C236" s="967">
        <f t="shared" si="95"/>
        <v>0</v>
      </c>
      <c r="D236" s="968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6853</v>
      </c>
      <c r="L236" s="35">
        <f>VLOOKUP($A223,'(C1) Shpenzimet vitet e kaluara'!$A$9:$O$177,15,FALSE)</f>
        <v>6853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66">
        <f t="shared" si="95"/>
        <v>605</v>
      </c>
      <c r="C237" s="967">
        <f t="shared" si="95"/>
        <v>0</v>
      </c>
      <c r="D237" s="968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66">
        <f t="shared" si="95"/>
        <v>606</v>
      </c>
      <c r="C238" s="967">
        <f t="shared" si="95"/>
        <v>0</v>
      </c>
      <c r="D238" s="968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6853</v>
      </c>
      <c r="L238" s="34">
        <f>L229+L236</f>
        <v>6853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66" t="str">
        <f t="shared" si="95"/>
        <v>230 / 231</v>
      </c>
      <c r="C239" s="967">
        <f t="shared" si="95"/>
        <v>0</v>
      </c>
      <c r="D239" s="968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66">
        <f t="shared" si="95"/>
        <v>609</v>
      </c>
      <c r="C240" s="967">
        <f t="shared" si="95"/>
        <v>0</v>
      </c>
      <c r="D240" s="968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66">
        <f t="shared" si="95"/>
        <v>650</v>
      </c>
      <c r="C241" s="967">
        <f t="shared" si="95"/>
        <v>0</v>
      </c>
      <c r="D241" s="968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66" t="str">
        <f t="shared" si="95"/>
        <v>69 / ?</v>
      </c>
      <c r="C242" s="967">
        <f t="shared" si="95"/>
        <v>0</v>
      </c>
      <c r="D242" s="968">
        <f t="shared" si="95"/>
        <v>0</v>
      </c>
      <c r="E242" s="129"/>
      <c r="F242" s="129"/>
      <c r="G242" s="129"/>
      <c r="H242" s="53"/>
      <c r="I242" s="972" t="str">
        <f t="shared" ref="I242:O243" si="97">I86</f>
        <v>SHUMA E KËRKUAR NETO</v>
      </c>
      <c r="J242" s="973">
        <f t="shared" si="97"/>
        <v>0</v>
      </c>
      <c r="K242" s="973">
        <f t="shared" si="97"/>
        <v>0</v>
      </c>
      <c r="L242" s="973">
        <f t="shared" si="97"/>
        <v>0</v>
      </c>
      <c r="M242" s="973">
        <f t="shared" si="97"/>
        <v>0</v>
      </c>
      <c r="N242" s="973">
        <f t="shared" si="97"/>
        <v>0</v>
      </c>
      <c r="O242" s="974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66">
        <f t="shared" si="95"/>
        <v>0</v>
      </c>
      <c r="C243" s="967">
        <f t="shared" si="95"/>
        <v>0</v>
      </c>
      <c r="D243" s="968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75">
        <f t="shared" si="97"/>
        <v>0</v>
      </c>
      <c r="J243" s="976">
        <f t="shared" si="97"/>
        <v>0</v>
      </c>
      <c r="K243" s="976">
        <f t="shared" si="97"/>
        <v>0</v>
      </c>
      <c r="L243" s="976">
        <f t="shared" si="97"/>
        <v>0</v>
      </c>
      <c r="M243" s="976">
        <f t="shared" si="97"/>
        <v>0</v>
      </c>
      <c r="N243" s="976">
        <f t="shared" si="97"/>
        <v>0</v>
      </c>
      <c r="O243" s="977">
        <f t="shared" si="97"/>
        <v>0</v>
      </c>
    </row>
    <row r="244" spans="1:15" ht="12.75" x14ac:dyDescent="0.2">
      <c r="A244" s="963" t="str">
        <f t="shared" si="95"/>
        <v>SHPENZIME KORRENTE</v>
      </c>
      <c r="B244" s="964">
        <f t="shared" si="95"/>
        <v>0</v>
      </c>
      <c r="C244" s="964">
        <f t="shared" si="95"/>
        <v>0</v>
      </c>
      <c r="D244" s="964">
        <f t="shared" si="95"/>
        <v>0</v>
      </c>
      <c r="E244" s="964">
        <f>E88</f>
        <v>0</v>
      </c>
      <c r="F244" s="964">
        <f>F88</f>
        <v>0</v>
      </c>
      <c r="G244" s="965">
        <f>G88</f>
        <v>0</v>
      </c>
      <c r="H244" s="53"/>
      <c r="I244" s="17" t="str">
        <f>I88</f>
        <v>SHUMA E KËRKUAR NETO</v>
      </c>
      <c r="J244" s="18">
        <f t="shared" ref="J244:O244" si="99">B228-J238</f>
        <v>6853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66">
        <f t="shared" si="95"/>
        <v>600</v>
      </c>
      <c r="C245" s="967">
        <f t="shared" si="95"/>
        <v>0</v>
      </c>
      <c r="D245" s="968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66">
        <f t="shared" si="95"/>
        <v>601</v>
      </c>
      <c r="C246" s="967">
        <f t="shared" si="95"/>
        <v>0</v>
      </c>
      <c r="D246" s="968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66">
        <f t="shared" si="95"/>
        <v>602</v>
      </c>
      <c r="C247" s="967">
        <f t="shared" si="95"/>
        <v>0</v>
      </c>
      <c r="D247" s="968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27" t="str">
        <f>J208</f>
        <v>Vlera Totale për Aktivitet</v>
      </c>
      <c r="K247" s="1028"/>
      <c r="L247" s="10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66">
        <f t="shared" si="95"/>
        <v>603</v>
      </c>
      <c r="C248" s="967">
        <f t="shared" si="95"/>
        <v>0</v>
      </c>
      <c r="D248" s="968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27" t="str">
        <f>J209</f>
        <v>Shpenzimet kapitale</v>
      </c>
      <c r="K248" s="1028"/>
      <c r="L248" s="10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66">
        <f t="shared" si="95"/>
        <v>604</v>
      </c>
      <c r="C249" s="967">
        <f t="shared" si="95"/>
        <v>0</v>
      </c>
      <c r="D249" s="968">
        <f t="shared" si="95"/>
        <v>0</v>
      </c>
      <c r="E249" s="37"/>
      <c r="F249" s="37"/>
      <c r="G249" s="37"/>
      <c r="H249" s="53"/>
      <c r="I249" s="315"/>
      <c r="J249" s="1027" t="str">
        <f>J210</f>
        <v>Mallra dhe shërbime</v>
      </c>
      <c r="K249" s="1028"/>
      <c r="L249" s="10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66">
        <f t="shared" si="95"/>
        <v>605</v>
      </c>
      <c r="C250" s="967">
        <f t="shared" si="95"/>
        <v>0</v>
      </c>
      <c r="D250" s="968">
        <f t="shared" si="95"/>
        <v>0</v>
      </c>
      <c r="E250" s="37"/>
      <c r="F250" s="37"/>
      <c r="G250" s="37"/>
      <c r="H250" s="53"/>
      <c r="I250" s="315"/>
      <c r="J250" s="1027" t="str">
        <f>J211</f>
        <v>Qëllime të mëtejshme</v>
      </c>
      <c r="K250" s="1028"/>
      <c r="L250" s="10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66">
        <f t="shared" si="95"/>
        <v>606</v>
      </c>
      <c r="C251" s="967">
        <f t="shared" si="95"/>
        <v>0</v>
      </c>
      <c r="D251" s="968">
        <f t="shared" si="95"/>
        <v>0</v>
      </c>
      <c r="E251" s="37"/>
      <c r="F251" s="37"/>
      <c r="G251" s="37"/>
      <c r="H251" s="53"/>
      <c r="I251" s="315"/>
      <c r="J251" s="1023"/>
      <c r="K251" s="1023"/>
      <c r="L251" s="1023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93" t="str">
        <f t="shared" si="95"/>
        <v>230 / 231</v>
      </c>
      <c r="C252" s="994">
        <f t="shared" si="95"/>
        <v>0</v>
      </c>
      <c r="D252" s="995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66">
        <f t="shared" si="95"/>
        <v>609</v>
      </c>
      <c r="C253" s="967">
        <f t="shared" si="95"/>
        <v>0</v>
      </c>
      <c r="D253" s="968">
        <f t="shared" si="95"/>
        <v>0</v>
      </c>
      <c r="E253" s="37"/>
      <c r="F253" s="37"/>
      <c r="G253" s="37"/>
      <c r="H253" s="53"/>
      <c r="I253" s="419">
        <f>M226</f>
        <v>2022</v>
      </c>
      <c r="J253" s="1008"/>
      <c r="K253" s="1009"/>
      <c r="L253" s="1009"/>
      <c r="M253" s="1009"/>
      <c r="N253" s="1009"/>
      <c r="O253" s="1010"/>
    </row>
    <row r="254" spans="1:15" ht="12.75" x14ac:dyDescent="0.2">
      <c r="A254" s="124" t="str">
        <f t="shared" si="95"/>
        <v>Interesa per kredi direkte ose bono</v>
      </c>
      <c r="B254" s="996">
        <f t="shared" si="95"/>
        <v>650</v>
      </c>
      <c r="C254" s="997">
        <f t="shared" si="95"/>
        <v>0</v>
      </c>
      <c r="D254" s="998">
        <f t="shared" si="95"/>
        <v>0</v>
      </c>
      <c r="E254" s="37"/>
      <c r="F254" s="37"/>
      <c r="G254" s="37"/>
      <c r="H254" s="53"/>
      <c r="I254" s="420"/>
      <c r="J254" s="1011"/>
      <c r="K254" s="1012"/>
      <c r="L254" s="1012"/>
      <c r="M254" s="1012"/>
      <c r="N254" s="1012"/>
      <c r="O254" s="1013"/>
    </row>
    <row r="255" spans="1:15" ht="12.75" x14ac:dyDescent="0.2">
      <c r="A255" s="252" t="str">
        <f>A99</f>
        <v>Të tjera</v>
      </c>
      <c r="B255" s="966" t="str">
        <f>B99</f>
        <v>69 / ?</v>
      </c>
      <c r="C255" s="967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1008"/>
      <c r="K255" s="1009"/>
      <c r="L255" s="1009"/>
      <c r="M255" s="1009"/>
      <c r="N255" s="1009"/>
      <c r="O255" s="1010"/>
    </row>
    <row r="256" spans="1:15" ht="12.75" x14ac:dyDescent="0.2">
      <c r="A256" s="124" t="str">
        <f>A100</f>
        <v>SHPENZIME KORRENTE</v>
      </c>
      <c r="B256" s="999"/>
      <c r="C256" s="1000"/>
      <c r="D256" s="100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1014"/>
      <c r="K256" s="1015"/>
      <c r="L256" s="1015"/>
      <c r="M256" s="1015"/>
      <c r="N256" s="1015"/>
      <c r="O256" s="1016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1008"/>
      <c r="K257" s="1009"/>
      <c r="L257" s="1009"/>
      <c r="M257" s="1009"/>
      <c r="N257" s="1009"/>
      <c r="O257" s="1010"/>
    </row>
    <row r="258" spans="1:15" ht="12.75" x14ac:dyDescent="0.2">
      <c r="A258" s="137" t="str">
        <f>A102</f>
        <v>SHPENZIME TË PRITSHME</v>
      </c>
      <c r="B258" s="34">
        <f>B228</f>
        <v>6853</v>
      </c>
      <c r="C258" s="34">
        <f t="shared" ref="C258:D258" si="102">C228</f>
        <v>6853</v>
      </c>
      <c r="D258" s="34">
        <f t="shared" si="102"/>
        <v>6853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1014"/>
      <c r="K258" s="1015"/>
      <c r="L258" s="1015"/>
      <c r="M258" s="1015"/>
      <c r="N258" s="1015"/>
      <c r="O258" s="1016"/>
    </row>
    <row r="261" spans="1:15" ht="17.25" customHeight="1" x14ac:dyDescent="0.2">
      <c r="A261" s="213" t="str">
        <f t="shared" ref="A261:O261" si="104">A66</f>
        <v>Nënfunksioni 7</v>
      </c>
      <c r="B261" s="962" t="str">
        <f t="shared" si="104"/>
        <v>042 Bujqësia, pyjet, peshkimi dhe gjuetia</v>
      </c>
      <c r="C261" s="962">
        <f t="shared" si="104"/>
        <v>0</v>
      </c>
      <c r="D261" s="962">
        <f t="shared" si="104"/>
        <v>0</v>
      </c>
      <c r="E261" s="962">
        <f t="shared" si="104"/>
        <v>0</v>
      </c>
      <c r="F261" s="962">
        <f t="shared" si="104"/>
        <v>0</v>
      </c>
      <c r="G261" s="962">
        <f t="shared" si="104"/>
        <v>0</v>
      </c>
      <c r="H261" s="962">
        <f t="shared" si="104"/>
        <v>0</v>
      </c>
      <c r="I261" s="962">
        <f t="shared" si="104"/>
        <v>0</v>
      </c>
      <c r="J261" s="962">
        <f t="shared" si="104"/>
        <v>0</v>
      </c>
      <c r="K261" s="962">
        <f t="shared" si="104"/>
        <v>0</v>
      </c>
      <c r="L261" s="962">
        <f t="shared" si="104"/>
        <v>0</v>
      </c>
      <c r="M261" s="962">
        <f t="shared" si="104"/>
        <v>0</v>
      </c>
      <c r="N261" s="962">
        <f t="shared" si="104"/>
        <v>0</v>
      </c>
      <c r="O261" s="962">
        <f t="shared" si="104"/>
        <v>0</v>
      </c>
    </row>
    <row r="262" spans="1:15" ht="17.25" customHeight="1" x14ac:dyDescent="0.2">
      <c r="A262" s="276" t="str">
        <f>A11</f>
        <v>Programi 7f</v>
      </c>
      <c r="B262" s="962">
        <f>C11</f>
        <v>0</v>
      </c>
      <c r="C262" s="962" t="e">
        <f>#REF!</f>
        <v>#REF!</v>
      </c>
      <c r="D262" s="962" t="e">
        <f>#REF!</f>
        <v>#REF!</v>
      </c>
      <c r="E262" s="962" t="e">
        <f>#REF!</f>
        <v>#REF!</v>
      </c>
      <c r="F262" s="962" t="e">
        <f>#REF!</f>
        <v>#REF!</v>
      </c>
      <c r="G262" s="962" t="e">
        <f>#REF!</f>
        <v>#REF!</v>
      </c>
      <c r="H262" s="962" t="e">
        <f>#REF!</f>
        <v>#REF!</v>
      </c>
      <c r="I262" s="962" t="e">
        <f>#REF!</f>
        <v>#REF!</v>
      </c>
      <c r="J262" s="962" t="e">
        <f>#REF!</f>
        <v>#REF!</v>
      </c>
      <c r="K262" s="962" t="e">
        <f>#REF!</f>
        <v>#REF!</v>
      </c>
      <c r="L262" s="962" t="e">
        <f>#REF!</f>
        <v>#REF!</v>
      </c>
      <c r="M262" s="962" t="e">
        <f>#REF!</f>
        <v>#REF!</v>
      </c>
      <c r="N262" s="962" t="e">
        <f>#REF!</f>
        <v>#REF!</v>
      </c>
      <c r="O262" s="962" t="e">
        <f>#REF!</f>
        <v>#REF!</v>
      </c>
    </row>
    <row r="263" spans="1:15" ht="17.25" customHeight="1" x14ac:dyDescent="0.2">
      <c r="A263" s="647">
        <f>'(B3) Struktura Funksionale'!B47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89" t="str">
        <f t="shared" ref="A264:G264" si="105">A69</f>
        <v>SHPENZIME TË PRITSHME</v>
      </c>
      <c r="B264" s="990">
        <f t="shared" si="105"/>
        <v>0</v>
      </c>
      <c r="C264" s="990">
        <f t="shared" si="105"/>
        <v>0</v>
      </c>
      <c r="D264" s="990">
        <f t="shared" si="105"/>
        <v>0</v>
      </c>
      <c r="E264" s="990">
        <f t="shared" si="105"/>
        <v>0</v>
      </c>
      <c r="F264" s="990">
        <f t="shared" si="105"/>
        <v>0</v>
      </c>
      <c r="G264" s="991">
        <f t="shared" si="105"/>
        <v>0</v>
      </c>
      <c r="H264" s="131"/>
      <c r="I264" s="992" t="str">
        <f t="shared" ref="I264:O264" si="106">I69</f>
        <v xml:space="preserve">TË ARDHURAT E PRITSHME </v>
      </c>
      <c r="J264" s="990">
        <f t="shared" si="106"/>
        <v>0</v>
      </c>
      <c r="K264" s="990">
        <f t="shared" si="106"/>
        <v>0</v>
      </c>
      <c r="L264" s="990">
        <f t="shared" si="106"/>
        <v>0</v>
      </c>
      <c r="M264" s="990">
        <f t="shared" si="106"/>
        <v>0</v>
      </c>
      <c r="N264" s="990">
        <f t="shared" si="106"/>
        <v>0</v>
      </c>
      <c r="O264" s="991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2019</v>
      </c>
      <c r="C265" s="249">
        <f t="shared" si="107"/>
        <v>2020</v>
      </c>
      <c r="D265" s="249">
        <f t="shared" si="107"/>
        <v>2021</v>
      </c>
      <c r="E265" s="250">
        <f t="shared" si="107"/>
        <v>2022</v>
      </c>
      <c r="F265" s="250">
        <f t="shared" si="107"/>
        <v>2023</v>
      </c>
      <c r="G265" s="250">
        <f t="shared" si="107"/>
        <v>2024</v>
      </c>
      <c r="H265" s="212"/>
      <c r="I265" s="307"/>
      <c r="J265" s="249">
        <f t="shared" ref="J265:O265" si="108">J70</f>
        <v>2019</v>
      </c>
      <c r="K265" s="249">
        <f t="shared" si="108"/>
        <v>2020</v>
      </c>
      <c r="L265" s="249">
        <f t="shared" si="108"/>
        <v>2021</v>
      </c>
      <c r="M265" s="250">
        <f t="shared" si="108"/>
        <v>2022</v>
      </c>
      <c r="N265" s="250">
        <f t="shared" si="108"/>
        <v>2023</v>
      </c>
      <c r="O265" s="250">
        <f t="shared" si="108"/>
        <v>2024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63" t="str">
        <f t="shared" ref="I267:O267" si="109">I72</f>
        <v>VLERËSIM I ARDHURAVE NGA TARIFAT</v>
      </c>
      <c r="J267" s="964">
        <f t="shared" si="109"/>
        <v>0</v>
      </c>
      <c r="K267" s="964">
        <f t="shared" si="109"/>
        <v>0</v>
      </c>
      <c r="L267" s="964">
        <f t="shared" si="109"/>
        <v>0</v>
      </c>
      <c r="M267" s="964">
        <f t="shared" si="109"/>
        <v>0</v>
      </c>
      <c r="N267" s="964">
        <f t="shared" si="109"/>
        <v>0</v>
      </c>
      <c r="O267" s="965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30" t="str">
        <f t="shared" ref="A269:G270" si="110">A74</f>
        <v>SHPENZIME TË PRITSHME</v>
      </c>
      <c r="B269" s="1031">
        <f t="shared" si="110"/>
        <v>0</v>
      </c>
      <c r="C269" s="1031">
        <f t="shared" si="110"/>
        <v>0</v>
      </c>
      <c r="D269" s="1031">
        <f t="shared" si="110"/>
        <v>0</v>
      </c>
      <c r="E269" s="1031">
        <f t="shared" si="110"/>
        <v>0</v>
      </c>
      <c r="F269" s="1031">
        <f t="shared" si="110"/>
        <v>0</v>
      </c>
      <c r="G269" s="1032">
        <f t="shared" si="110"/>
        <v>0</v>
      </c>
      <c r="H269" s="10"/>
    </row>
    <row r="270" spans="1:15" ht="22.5" x14ac:dyDescent="0.2">
      <c r="A270" s="963" t="str">
        <f t="shared" si="110"/>
        <v>KOSTO DIREKTE PËR PROJEKTET DHE SHPENZIMET KAPITALE</v>
      </c>
      <c r="B270" s="964">
        <f t="shared" si="110"/>
        <v>0</v>
      </c>
      <c r="C270" s="964">
        <f t="shared" si="110"/>
        <v>0</v>
      </c>
      <c r="D270" s="964">
        <f t="shared" si="110"/>
        <v>0</v>
      </c>
      <c r="E270" s="964">
        <f t="shared" si="110"/>
        <v>0</v>
      </c>
      <c r="F270" s="964">
        <f t="shared" si="110"/>
        <v>0</v>
      </c>
      <c r="G270" s="965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66">
        <f t="shared" si="112"/>
        <v>600</v>
      </c>
      <c r="C271" s="967">
        <f t="shared" si="112"/>
        <v>0</v>
      </c>
      <c r="D271" s="968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66">
        <f t="shared" si="112"/>
        <v>601</v>
      </c>
      <c r="C272" s="967">
        <f t="shared" si="112"/>
        <v>0</v>
      </c>
      <c r="D272" s="968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66">
        <f t="shared" si="112"/>
        <v>602</v>
      </c>
      <c r="C273" s="967">
        <f t="shared" si="112"/>
        <v>0</v>
      </c>
      <c r="D273" s="968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8">
        <f>VLOOKUP($A262,'(C4) Trashëgimi me destinacion'!$A$8:$F$168,5,FALSE)</f>
        <v>0</v>
      </c>
      <c r="O273" s="548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66">
        <f t="shared" si="112"/>
        <v>603</v>
      </c>
      <c r="C274" s="967">
        <f t="shared" si="112"/>
        <v>0</v>
      </c>
      <c r="D274" s="968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66">
        <f t="shared" si="112"/>
        <v>604</v>
      </c>
      <c r="C275" s="967">
        <f t="shared" si="112"/>
        <v>0</v>
      </c>
      <c r="D275" s="968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66">
        <f t="shared" si="112"/>
        <v>605</v>
      </c>
      <c r="C276" s="967">
        <f t="shared" si="112"/>
        <v>0</v>
      </c>
      <c r="D276" s="968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66">
        <f t="shared" si="112"/>
        <v>606</v>
      </c>
      <c r="C277" s="967">
        <f t="shared" si="112"/>
        <v>0</v>
      </c>
      <c r="D277" s="968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66" t="str">
        <f t="shared" si="112"/>
        <v>230 / 231</v>
      </c>
      <c r="C278" s="967">
        <f t="shared" si="112"/>
        <v>0</v>
      </c>
      <c r="D278" s="968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66">
        <f t="shared" si="112"/>
        <v>609</v>
      </c>
      <c r="C279" s="967">
        <f t="shared" si="112"/>
        <v>0</v>
      </c>
      <c r="D279" s="968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66">
        <f t="shared" si="112"/>
        <v>650</v>
      </c>
      <c r="C280" s="967">
        <f t="shared" si="112"/>
        <v>0</v>
      </c>
      <c r="D280" s="968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66" t="str">
        <f t="shared" si="112"/>
        <v>69 / ?</v>
      </c>
      <c r="C281" s="967">
        <f t="shared" si="112"/>
        <v>0</v>
      </c>
      <c r="D281" s="968">
        <f t="shared" si="112"/>
        <v>0</v>
      </c>
      <c r="E281" s="129"/>
      <c r="F281" s="129"/>
      <c r="G281" s="129"/>
      <c r="H281" s="53"/>
      <c r="I281" s="972" t="str">
        <f t="shared" ref="I281:O282" si="114">I86</f>
        <v>SHUMA E KËRKUAR NETO</v>
      </c>
      <c r="J281" s="973">
        <f t="shared" si="114"/>
        <v>0</v>
      </c>
      <c r="K281" s="973">
        <f t="shared" si="114"/>
        <v>0</v>
      </c>
      <c r="L281" s="973">
        <f t="shared" si="114"/>
        <v>0</v>
      </c>
      <c r="M281" s="973">
        <f t="shared" si="114"/>
        <v>0</v>
      </c>
      <c r="N281" s="973">
        <f t="shared" si="114"/>
        <v>0</v>
      </c>
      <c r="O281" s="974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66">
        <f t="shared" si="112"/>
        <v>0</v>
      </c>
      <c r="C282" s="967">
        <f t="shared" si="112"/>
        <v>0</v>
      </c>
      <c r="D282" s="968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75">
        <f t="shared" si="114"/>
        <v>0</v>
      </c>
      <c r="J282" s="976">
        <f t="shared" si="114"/>
        <v>0</v>
      </c>
      <c r="K282" s="976">
        <f t="shared" si="114"/>
        <v>0</v>
      </c>
      <c r="L282" s="976">
        <f t="shared" si="114"/>
        <v>0</v>
      </c>
      <c r="M282" s="976">
        <f t="shared" si="114"/>
        <v>0</v>
      </c>
      <c r="N282" s="976">
        <f t="shared" si="114"/>
        <v>0</v>
      </c>
      <c r="O282" s="977">
        <f t="shared" si="114"/>
        <v>0</v>
      </c>
    </row>
    <row r="283" spans="1:15" ht="12.75" x14ac:dyDescent="0.2">
      <c r="A283" s="963" t="str">
        <f t="shared" si="112"/>
        <v>SHPENZIME KORRENTE</v>
      </c>
      <c r="B283" s="964">
        <f t="shared" si="112"/>
        <v>0</v>
      </c>
      <c r="C283" s="964">
        <f t="shared" si="112"/>
        <v>0</v>
      </c>
      <c r="D283" s="964">
        <f t="shared" si="112"/>
        <v>0</v>
      </c>
      <c r="E283" s="964">
        <f>E88</f>
        <v>0</v>
      </c>
      <c r="F283" s="964">
        <f>F88</f>
        <v>0</v>
      </c>
      <c r="G283" s="965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66">
        <f t="shared" si="112"/>
        <v>600</v>
      </c>
      <c r="C284" s="967">
        <f t="shared" si="112"/>
        <v>0</v>
      </c>
      <c r="D284" s="968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66">
        <f t="shared" si="112"/>
        <v>601</v>
      </c>
      <c r="C285" s="967">
        <f t="shared" si="112"/>
        <v>0</v>
      </c>
      <c r="D285" s="968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66">
        <f t="shared" si="112"/>
        <v>602</v>
      </c>
      <c r="C286" s="967">
        <f t="shared" si="112"/>
        <v>0</v>
      </c>
      <c r="D286" s="968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34" t="str">
        <f>J247</f>
        <v>Vlera Totale për Aktivitet</v>
      </c>
      <c r="K286" s="1035"/>
      <c r="L286" s="1036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66">
        <f t="shared" si="112"/>
        <v>603</v>
      </c>
      <c r="C287" s="967">
        <f t="shared" si="112"/>
        <v>0</v>
      </c>
      <c r="D287" s="968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34" t="str">
        <f>J248</f>
        <v>Shpenzimet kapitale</v>
      </c>
      <c r="K287" s="1035"/>
      <c r="L287" s="1036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66">
        <f t="shared" si="112"/>
        <v>604</v>
      </c>
      <c r="C288" s="967">
        <f t="shared" si="112"/>
        <v>0</v>
      </c>
      <c r="D288" s="968">
        <f t="shared" si="112"/>
        <v>0</v>
      </c>
      <c r="E288" s="37"/>
      <c r="F288" s="37"/>
      <c r="G288" s="37"/>
      <c r="H288" s="53"/>
      <c r="I288" s="315"/>
      <c r="J288" s="1034" t="str">
        <f>J249</f>
        <v>Mallra dhe shërbime</v>
      </c>
      <c r="K288" s="1035"/>
      <c r="L288" s="1036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66">
        <f t="shared" si="112"/>
        <v>605</v>
      </c>
      <c r="C289" s="967">
        <f t="shared" si="112"/>
        <v>0</v>
      </c>
      <c r="D289" s="968">
        <f t="shared" si="112"/>
        <v>0</v>
      </c>
      <c r="E289" s="37"/>
      <c r="F289" s="37"/>
      <c r="G289" s="37"/>
      <c r="H289" s="53"/>
      <c r="I289" s="315"/>
      <c r="J289" s="1034" t="str">
        <f>J250</f>
        <v>Qëllime të mëtejshme</v>
      </c>
      <c r="K289" s="1035"/>
      <c r="L289" s="1036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66">
        <f t="shared" si="112"/>
        <v>606</v>
      </c>
      <c r="C290" s="967">
        <f t="shared" si="112"/>
        <v>0</v>
      </c>
      <c r="D290" s="968">
        <f t="shared" si="112"/>
        <v>0</v>
      </c>
      <c r="E290" s="37"/>
      <c r="F290" s="37"/>
      <c r="G290" s="37"/>
      <c r="H290" s="53"/>
      <c r="I290" s="315"/>
      <c r="J290" s="1023"/>
      <c r="K290" s="1023"/>
      <c r="L290" s="1023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si="112"/>
        <v>Shpenzimet kapitale</v>
      </c>
      <c r="B291" s="993" t="str">
        <f t="shared" si="112"/>
        <v>230 / 231</v>
      </c>
      <c r="C291" s="994">
        <f t="shared" si="112"/>
        <v>0</v>
      </c>
      <c r="D291" s="995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66">
        <f t="shared" si="112"/>
        <v>609</v>
      </c>
      <c r="C292" s="967">
        <f t="shared" si="112"/>
        <v>0</v>
      </c>
      <c r="D292" s="968">
        <f t="shared" si="112"/>
        <v>0</v>
      </c>
      <c r="E292" s="37"/>
      <c r="F292" s="37"/>
      <c r="G292" s="37"/>
      <c r="H292" s="53"/>
      <c r="I292" s="419">
        <f>M265</f>
        <v>2022</v>
      </c>
      <c r="J292" s="1008"/>
      <c r="K292" s="1009"/>
      <c r="L292" s="1009"/>
      <c r="M292" s="1009"/>
      <c r="N292" s="1009"/>
      <c r="O292" s="1010"/>
    </row>
    <row r="293" spans="1:15" ht="12.75" x14ac:dyDescent="0.2">
      <c r="A293" s="124" t="str">
        <f t="shared" si="112"/>
        <v>Interesa per kredi direkte ose bono</v>
      </c>
      <c r="B293" s="996">
        <f t="shared" si="112"/>
        <v>650</v>
      </c>
      <c r="C293" s="997">
        <f t="shared" si="112"/>
        <v>0</v>
      </c>
      <c r="D293" s="998">
        <f t="shared" si="112"/>
        <v>0</v>
      </c>
      <c r="E293" s="37"/>
      <c r="F293" s="37"/>
      <c r="G293" s="37"/>
      <c r="H293" s="53"/>
      <c r="I293" s="420"/>
      <c r="J293" s="1011"/>
      <c r="K293" s="1012"/>
      <c r="L293" s="1012"/>
      <c r="M293" s="1012"/>
      <c r="N293" s="1012"/>
      <c r="O293" s="1013"/>
    </row>
    <row r="294" spans="1:15" ht="12.75" x14ac:dyDescent="0.2">
      <c r="A294" s="252" t="str">
        <f>A99</f>
        <v>Të tjera</v>
      </c>
      <c r="B294" s="966" t="str">
        <f>B99</f>
        <v>69 / ?</v>
      </c>
      <c r="C294" s="967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2023</v>
      </c>
      <c r="J294" s="1008"/>
      <c r="K294" s="1009"/>
      <c r="L294" s="1009"/>
      <c r="M294" s="1009"/>
      <c r="N294" s="1009"/>
      <c r="O294" s="1010"/>
    </row>
    <row r="295" spans="1:15" ht="12.75" x14ac:dyDescent="0.2">
      <c r="A295" s="124" t="str">
        <f>A100</f>
        <v>SHPENZIME KORRENTE</v>
      </c>
      <c r="B295" s="999"/>
      <c r="C295" s="1000"/>
      <c r="D295" s="1001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1014"/>
      <c r="K295" s="1015"/>
      <c r="L295" s="1015"/>
      <c r="M295" s="1015"/>
      <c r="N295" s="1015"/>
      <c r="O295" s="1016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1008"/>
      <c r="K296" s="1009"/>
      <c r="L296" s="1009"/>
      <c r="M296" s="1009"/>
      <c r="N296" s="1009"/>
      <c r="O296" s="1010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1014"/>
      <c r="K297" s="1015"/>
      <c r="L297" s="1015"/>
      <c r="M297" s="1015"/>
      <c r="N297" s="1015"/>
      <c r="O297" s="1016"/>
    </row>
  </sheetData>
  <sheetProtection algorithmName="SHA-512" hashValue="9/9bONSMoGqq+RSYFQKap9PeGG1icztfE0qTP0QG54jDwCI3DKi3zzKM+TjHpyewomi0HdneM6lXeAD0fl2yAA==" saltValue="MVAUmFUwuVQSxWr1lEcosA==" spinCount="100000"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A24" zoomScaleNormal="100" workbookViewId="0">
      <selection activeCell="E83" sqref="E83: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Fjalori'!A71</f>
        <v>Nënfunksioni 8</v>
      </c>
      <c r="B2" s="860" t="str">
        <f>+VLOOKUP($A2,'(B2) Struktura Organizative'!$A7:$E68,2,FALSE)</f>
        <v>045 Trasporti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Funksionale'!A49</f>
        <v>Programi 8a</v>
      </c>
      <c r="B6" s="940"/>
      <c r="C6" s="941" t="str">
        <f>VLOOKUP($A6,'(B3) Struktura Funksionale'!$A$7:$E$146,3,FALSE)</f>
        <v>Rrjeti rrugor rural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Transferuar</v>
      </c>
      <c r="M6" s="942"/>
      <c r="N6" s="942"/>
      <c r="O6" s="943"/>
    </row>
    <row r="7" spans="1:15" ht="13.5" customHeight="1" x14ac:dyDescent="0.2">
      <c r="A7" s="939" t="str">
        <f>'(B3) Struktura Funksionale'!A50</f>
        <v>Programi 8b</v>
      </c>
      <c r="B7" s="940"/>
      <c r="C7" s="941" t="str">
        <f>VLOOKUP($A7,'(B3) Struktura Funksionale'!$A$7:$E$146,3,FALSE)</f>
        <v>Studimi i rrugëve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Funksionale'!A51</f>
        <v>Programi 8c</v>
      </c>
      <c r="B8" s="940"/>
      <c r="C8" s="941" t="str">
        <f>VLOOKUP($A8,'(B3) Struktura Funksionale'!$A$7:$E$146,3,FALSE)</f>
        <v>Transporti publik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customHeight="1" x14ac:dyDescent="0.2">
      <c r="A9" s="939" t="str">
        <f>'(B3) Struktura Funksionale'!A52</f>
        <v>Programi 8d</v>
      </c>
      <c r="B9" s="940"/>
      <c r="C9" s="941">
        <f>VLOOKUP($A9,'(B3) Struktura Funksionale'!$A$7:$E$146,3,FALSE)</f>
        <v>0</v>
      </c>
      <c r="D9" s="942"/>
      <c r="E9" s="942"/>
      <c r="F9" s="942"/>
      <c r="G9" s="942"/>
      <c r="H9" s="943"/>
      <c r="I9" s="941">
        <f>VLOOKUP($A9,'(B3) Struktura Funksionale'!$A$7:$E$146,4,FALSE)</f>
        <v>0</v>
      </c>
      <c r="J9" s="942"/>
      <c r="K9" s="943"/>
      <c r="L9" s="941">
        <f>VLOOKUP($A9,'(B3) Struktura Funksionale'!$A$7:$E$146,5,FALSE)</f>
        <v>0</v>
      </c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8</v>
      </c>
      <c r="B14" s="962" t="str">
        <f>B$2</f>
        <v>045 Trasporti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31582</v>
      </c>
      <c r="C18" s="34">
        <f t="shared" si="1"/>
        <v>31582</v>
      </c>
      <c r="D18" s="34">
        <f t="shared" si="1"/>
        <v>31582</v>
      </c>
      <c r="E18" s="129">
        <f t="shared" si="1"/>
        <v>88487</v>
      </c>
      <c r="F18" s="129">
        <f t="shared" si="1"/>
        <v>98487</v>
      </c>
      <c r="G18" s="129">
        <f t="shared" si="1"/>
        <v>128486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2957</v>
      </c>
      <c r="K19" s="35">
        <f t="shared" si="2"/>
        <v>2957</v>
      </c>
      <c r="L19" s="34">
        <f t="shared" si="2"/>
        <v>2957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28625</v>
      </c>
      <c r="L27" s="34">
        <f>L80+L119+L158+L197+L235+L273</f>
        <v>28625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88487</v>
      </c>
      <c r="F29" s="305">
        <f t="shared" si="3"/>
        <v>98487</v>
      </c>
      <c r="G29" s="305">
        <f t="shared" si="3"/>
        <v>128486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2957</v>
      </c>
      <c r="K29" s="34">
        <f t="shared" si="5"/>
        <v>31582</v>
      </c>
      <c r="L29" s="34">
        <f t="shared" si="5"/>
        <v>31582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88487</v>
      </c>
      <c r="F33" s="129">
        <f t="shared" si="3"/>
        <v>98487</v>
      </c>
      <c r="G33" s="129">
        <f t="shared" si="3"/>
        <v>128486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J88+J127+J166+J205+J243+J281</f>
        <v>28625</v>
      </c>
      <c r="K34" s="18">
        <f t="shared" si="6"/>
        <v>0</v>
      </c>
      <c r="L34" s="18">
        <f t="shared" si="6"/>
        <v>0</v>
      </c>
      <c r="M34" s="18">
        <f t="shared" si="6"/>
        <v>88487</v>
      </c>
      <c r="N34" s="18">
        <f t="shared" si="6"/>
        <v>98487</v>
      </c>
      <c r="O34" s="18">
        <f t="shared" si="6"/>
        <v>128486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31582</v>
      </c>
      <c r="C48" s="34">
        <f t="shared" si="11"/>
        <v>31582</v>
      </c>
      <c r="D48" s="34">
        <f t="shared" si="11"/>
        <v>31582</v>
      </c>
      <c r="E48" s="129">
        <f t="shared" si="11"/>
        <v>88487</v>
      </c>
      <c r="F48" s="129">
        <f t="shared" si="11"/>
        <v>98487</v>
      </c>
      <c r="G48" s="129">
        <f t="shared" si="11"/>
        <v>128486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88487</v>
      </c>
      <c r="N52" s="138">
        <f>VLOOKUP($A14,'(D1) Tavanet buxhetore'!$A$7:$R$473,8,FALSE)</f>
        <v>98487</v>
      </c>
      <c r="O52" s="673">
        <f>VLOOKUP($A14,'(D1) Tavanet buxhetore'!$A$7:$R$473,9,FALSE)</f>
        <v>128486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88487</v>
      </c>
      <c r="N53" s="139">
        <f t="shared" ref="N53:O53" si="13">F18</f>
        <v>98487</v>
      </c>
      <c r="O53" s="674">
        <f t="shared" si="13"/>
        <v>128486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88487</v>
      </c>
      <c r="N61" s="138">
        <f>VLOOKUP($A14,'(D1) Tavanet buxhetore'!$A$7:$R$473,17,FALSE)</f>
        <v>98487</v>
      </c>
      <c r="O61" s="673">
        <f>VLOOKUP($A14,'(D1) Tavanet buxhetore'!$A$7:$R$473,18,FALSE)</f>
        <v>128486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88487</v>
      </c>
      <c r="N62" s="139">
        <f t="shared" ref="N62:O62" si="18">F29+F42</f>
        <v>98487</v>
      </c>
      <c r="O62" s="674">
        <f t="shared" si="18"/>
        <v>128486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62" t="str">
        <f t="shared" si="20"/>
        <v>045 Trasporti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8a</v>
      </c>
      <c r="B67" s="962" t="str">
        <f>C6</f>
        <v>Rrjeti rrugor rural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Funksionale'!B49</f>
        <v>04520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31582</v>
      </c>
      <c r="C72" s="345">
        <f>VLOOKUP(A67,'(C1) Shpenzimet vitet e kaluara'!A$9:O$177,9,FALSE)</f>
        <v>31582</v>
      </c>
      <c r="D72" s="345">
        <f>VLOOKUP(A67,'(C1) Shpenzimet vitet e kaluara'!A$9:O$177,13,FALSE)</f>
        <v>31582</v>
      </c>
      <c r="E72" s="416">
        <v>88487</v>
      </c>
      <c r="F72" s="416">
        <v>98487</v>
      </c>
      <c r="G72" s="416">
        <v>128486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2957</v>
      </c>
      <c r="K73" s="35">
        <f>VLOOKUP($A67,'(C1) Shpenzimet vitet e kaluara'!$A$9:$O$177,10,FALSE)</f>
        <v>2957</v>
      </c>
      <c r="L73" s="35">
        <f>VLOOKUP($A67,'(C1) Shpenzimet vitet e kaluara'!$A$9:$O$177,14,FALSE)</f>
        <v>2957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28625</v>
      </c>
      <c r="L80" s="35">
        <f>VLOOKUP($A67,'(C1) Shpenzimet vitet e kaluara'!$A$9:$O$177,15,FALSE)</f>
        <v>28625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2957</v>
      </c>
      <c r="K82" s="34">
        <f>K73+K80</f>
        <v>31582</v>
      </c>
      <c r="L82" s="34">
        <f>L73+L80</f>
        <v>31582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416">
        <v>88487</v>
      </c>
      <c r="F83" s="416">
        <v>98487</v>
      </c>
      <c r="G83" s="416">
        <v>128486</v>
      </c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88487</v>
      </c>
      <c r="F87" s="129">
        <f t="shared" ref="F87:G87" si="30">SUM(F76:F86)</f>
        <v>98487</v>
      </c>
      <c r="G87" s="129">
        <f t="shared" si="30"/>
        <v>128486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28625</v>
      </c>
      <c r="K88" s="18">
        <f t="shared" si="31"/>
        <v>0</v>
      </c>
      <c r="L88" s="18">
        <f t="shared" si="31"/>
        <v>0</v>
      </c>
      <c r="M88" s="18">
        <f t="shared" si="31"/>
        <v>88487</v>
      </c>
      <c r="N88" s="18">
        <f t="shared" si="31"/>
        <v>98487</v>
      </c>
      <c r="O88" s="18">
        <f t="shared" si="31"/>
        <v>128486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31582</v>
      </c>
      <c r="C102" s="34">
        <f t="shared" ref="C102:D102" si="34">C72</f>
        <v>31582</v>
      </c>
      <c r="D102" s="34">
        <f t="shared" si="34"/>
        <v>31582</v>
      </c>
      <c r="E102" s="129">
        <f>E87+E100</f>
        <v>88487</v>
      </c>
      <c r="F102" s="129">
        <f>F87+F100</f>
        <v>98487</v>
      </c>
      <c r="G102" s="129">
        <f t="shared" ref="G102" si="35">G87+G100</f>
        <v>128486</v>
      </c>
      <c r="H102" s="53"/>
      <c r="I102" s="420"/>
      <c r="J102" s="1014"/>
      <c r="K102" s="1015"/>
      <c r="L102" s="1015"/>
      <c r="M102" s="1015"/>
      <c r="N102" s="1015"/>
      <c r="O102" s="101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62" t="str">
        <f t="shared" si="36"/>
        <v>045 Trasporti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8b</v>
      </c>
      <c r="B106" s="962" t="str">
        <f>C7</f>
        <v>Studimi i rrugëve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Funksionale'!B50</f>
        <v>04530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62" t="str">
        <f t="shared" si="53"/>
        <v>045 Trasporti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8c</v>
      </c>
      <c r="B145" s="962" t="str">
        <f>C8</f>
        <v>Transporti publik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 t="str">
        <f>'(B3) Struktura Funksionale'!B51</f>
        <v>04570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62" t="str">
        <f t="shared" si="70"/>
        <v>045 Trasporti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x14ac:dyDescent="0.2">
      <c r="A184" s="276" t="str">
        <f>A9</f>
        <v>Programi 8d</v>
      </c>
      <c r="B184" s="962">
        <f>C9</f>
        <v>0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647">
        <f>'(B3) Struktura Funksionale'!B52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129"/>
      <c r="F203" s="129"/>
      <c r="G203" s="129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hidden="1" customHeight="1" x14ac:dyDescent="0.2">
      <c r="A222" s="213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17.25" hidden="1" customHeight="1" x14ac:dyDescent="0.2">
      <c r="A223" s="276"/>
      <c r="B223" s="962"/>
      <c r="C223" s="962"/>
      <c r="D223" s="962"/>
      <c r="E223" s="962"/>
      <c r="F223" s="962"/>
      <c r="G223" s="962"/>
      <c r="H223" s="962"/>
      <c r="I223" s="962"/>
      <c r="J223" s="962"/>
      <c r="K223" s="962"/>
      <c r="L223" s="962"/>
      <c r="M223" s="962"/>
      <c r="N223" s="962"/>
      <c r="O223" s="962"/>
    </row>
    <row r="224" spans="1:15" ht="21.75" hidden="1" customHeight="1" x14ac:dyDescent="0.2">
      <c r="A224" s="958"/>
      <c r="B224" s="959"/>
      <c r="C224" s="959"/>
      <c r="D224" s="959"/>
      <c r="E224" s="959"/>
      <c r="F224" s="959"/>
      <c r="G224" s="979"/>
      <c r="H224" s="131"/>
      <c r="I224" s="980"/>
      <c r="J224" s="959"/>
      <c r="K224" s="959"/>
      <c r="L224" s="959"/>
      <c r="M224" s="959"/>
      <c r="N224" s="959"/>
      <c r="O224" s="97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63"/>
      <c r="J227" s="964"/>
      <c r="K227" s="964"/>
      <c r="L227" s="964"/>
      <c r="M227" s="964"/>
      <c r="N227" s="964"/>
      <c r="O227" s="96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9"/>
      <c r="B229" s="970"/>
      <c r="C229" s="970"/>
      <c r="D229" s="970"/>
      <c r="E229" s="970"/>
      <c r="F229" s="970"/>
      <c r="G229" s="971"/>
      <c r="H229" s="10"/>
    </row>
    <row r="230" spans="1:15" ht="12.75" hidden="1" x14ac:dyDescent="0.2">
      <c r="A230" s="963"/>
      <c r="B230" s="964"/>
      <c r="C230" s="964"/>
      <c r="D230" s="964"/>
      <c r="E230" s="964"/>
      <c r="F230" s="964"/>
      <c r="G230" s="965"/>
      <c r="H230" s="31"/>
      <c r="I230" s="963"/>
      <c r="J230" s="964"/>
      <c r="K230" s="964"/>
      <c r="L230" s="964"/>
      <c r="M230" s="964"/>
      <c r="N230" s="964"/>
      <c r="O230" s="965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</row>
    <row r="241" spans="1:15" ht="12.75" hidden="1" x14ac:dyDescent="0.2">
      <c r="A241" s="124"/>
      <c r="B241" s="966"/>
      <c r="C241" s="967"/>
      <c r="D241" s="968"/>
      <c r="E241" s="37"/>
      <c r="F241" s="37"/>
      <c r="G241" s="37"/>
      <c r="H241" s="53"/>
      <c r="I241" s="972"/>
      <c r="J241" s="973"/>
      <c r="K241" s="973"/>
      <c r="L241" s="973"/>
      <c r="M241" s="973"/>
      <c r="N241" s="973"/>
      <c r="O241" s="974"/>
    </row>
    <row r="242" spans="1:15" ht="12.75" hidden="1" customHeight="1" x14ac:dyDescent="0.2">
      <c r="A242" s="306"/>
      <c r="B242" s="966"/>
      <c r="C242" s="967"/>
      <c r="D242" s="968"/>
      <c r="E242" s="129"/>
      <c r="F242" s="129"/>
      <c r="G242" s="129"/>
      <c r="H242" s="53"/>
      <c r="I242" s="975"/>
      <c r="J242" s="976"/>
      <c r="K242" s="976"/>
      <c r="L242" s="976"/>
      <c r="M242" s="976"/>
      <c r="N242" s="976"/>
      <c r="O242" s="977"/>
    </row>
    <row r="243" spans="1:15" ht="12.75" hidden="1" x14ac:dyDescent="0.2">
      <c r="A243" s="963"/>
      <c r="B243" s="964"/>
      <c r="C243" s="964"/>
      <c r="D243" s="964"/>
      <c r="E243" s="964"/>
      <c r="F243" s="964"/>
      <c r="G243" s="96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252"/>
      <c r="J246" s="1027"/>
      <c r="K246" s="1028"/>
      <c r="L246" s="1029"/>
      <c r="M246" s="129"/>
      <c r="N246" s="129"/>
      <c r="O246" s="129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8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7"/>
      <c r="K249" s="1028"/>
      <c r="L249" s="1029"/>
      <c r="M249" s="128"/>
      <c r="N249" s="128"/>
      <c r="O249" s="132"/>
    </row>
    <row r="250" spans="1:15" ht="12.75" hidden="1" x14ac:dyDescent="0.2">
      <c r="A250" s="124"/>
      <c r="B250" s="966"/>
      <c r="C250" s="967"/>
      <c r="D250" s="968"/>
      <c r="E250" s="37"/>
      <c r="F250" s="37"/>
      <c r="G250" s="37"/>
      <c r="H250" s="53"/>
      <c r="I250" s="315"/>
      <c r="J250" s="1023"/>
      <c r="K250" s="1023"/>
      <c r="L250" s="102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66"/>
      <c r="C251" s="967"/>
      <c r="D251" s="968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19">
        <f>M225</f>
        <v>0</v>
      </c>
      <c r="J252" s="1008"/>
      <c r="K252" s="1009"/>
      <c r="L252" s="1009"/>
      <c r="M252" s="1009"/>
      <c r="N252" s="1009"/>
      <c r="O252" s="1010"/>
    </row>
    <row r="253" spans="1:15" ht="12.75" hidden="1" x14ac:dyDescent="0.2">
      <c r="A253" s="124"/>
      <c r="B253" s="996"/>
      <c r="C253" s="997"/>
      <c r="D253" s="998"/>
      <c r="E253" s="37"/>
      <c r="F253" s="37"/>
      <c r="G253" s="37"/>
      <c r="H253" s="53"/>
      <c r="I253" s="420"/>
      <c r="J253" s="1011"/>
      <c r="K253" s="1012"/>
      <c r="L253" s="1012"/>
      <c r="M253" s="1012"/>
      <c r="N253" s="1012"/>
      <c r="O253" s="1013"/>
    </row>
    <row r="254" spans="1:15" ht="12.75" hidden="1" x14ac:dyDescent="0.2">
      <c r="A254" s="252"/>
      <c r="B254" s="966"/>
      <c r="C254" s="967"/>
      <c r="D254" s="311"/>
      <c r="E254" s="308"/>
      <c r="F254" s="308"/>
      <c r="G254" s="308"/>
      <c r="H254" s="53"/>
      <c r="I254" s="419">
        <f>N225</f>
        <v>0</v>
      </c>
      <c r="J254" s="1008"/>
      <c r="K254" s="1009"/>
      <c r="L254" s="1009"/>
      <c r="M254" s="1009"/>
      <c r="N254" s="1009"/>
      <c r="O254" s="1010"/>
    </row>
    <row r="255" spans="1:15" ht="12.75" hidden="1" x14ac:dyDescent="0.2">
      <c r="A255" s="124"/>
      <c r="B255" s="999"/>
      <c r="C255" s="1000"/>
      <c r="D255" s="1001"/>
      <c r="E255" s="129"/>
      <c r="F255" s="129"/>
      <c r="G255" s="129"/>
      <c r="H255" s="53"/>
      <c r="I255" s="420"/>
      <c r="J255" s="1014"/>
      <c r="K255" s="1015"/>
      <c r="L255" s="1015"/>
      <c r="M255" s="1015"/>
      <c r="N255" s="1015"/>
      <c r="O255" s="101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1008"/>
      <c r="K256" s="1009"/>
      <c r="L256" s="1009"/>
      <c r="M256" s="1009"/>
      <c r="N256" s="1009"/>
      <c r="O256" s="101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1014"/>
      <c r="K257" s="1015"/>
      <c r="L257" s="1015"/>
      <c r="M257" s="1015"/>
      <c r="N257" s="1015"/>
      <c r="O257" s="101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17.25" hidden="1" customHeight="1" x14ac:dyDescent="0.2">
      <c r="A261" s="276"/>
      <c r="B261" s="962"/>
      <c r="C261" s="962"/>
      <c r="D261" s="962"/>
      <c r="E261" s="962"/>
      <c r="F261" s="962"/>
      <c r="G261" s="962"/>
      <c r="H261" s="962"/>
      <c r="I261" s="962"/>
      <c r="J261" s="962"/>
      <c r="K261" s="962"/>
      <c r="L261" s="962"/>
      <c r="M261" s="962"/>
      <c r="N261" s="962"/>
      <c r="O261" s="962"/>
    </row>
    <row r="262" spans="1:15" ht="22.5" hidden="1" customHeight="1" x14ac:dyDescent="0.2">
      <c r="A262" s="958"/>
      <c r="B262" s="959"/>
      <c r="C262" s="959"/>
      <c r="D262" s="959"/>
      <c r="E262" s="959"/>
      <c r="F262" s="959"/>
      <c r="G262" s="979"/>
      <c r="H262" s="131"/>
      <c r="I262" s="980"/>
      <c r="J262" s="959"/>
      <c r="K262" s="959"/>
      <c r="L262" s="959"/>
      <c r="M262" s="959"/>
      <c r="N262" s="959"/>
      <c r="O262" s="97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63"/>
      <c r="J265" s="964"/>
      <c r="K265" s="964"/>
      <c r="L265" s="964"/>
      <c r="M265" s="964"/>
      <c r="N265" s="964"/>
      <c r="O265" s="96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30"/>
      <c r="B267" s="1031"/>
      <c r="C267" s="1031"/>
      <c r="D267" s="1031"/>
      <c r="E267" s="1031"/>
      <c r="F267" s="1031"/>
      <c r="G267" s="1032"/>
      <c r="H267" s="10"/>
    </row>
    <row r="268" spans="1:15" ht="12.75" hidden="1" x14ac:dyDescent="0.2">
      <c r="A268" s="963"/>
      <c r="B268" s="964"/>
      <c r="C268" s="964"/>
      <c r="D268" s="964"/>
      <c r="E268" s="964"/>
      <c r="F268" s="964"/>
      <c r="G268" s="965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</row>
    <row r="279" spans="1:15" ht="12.75" hidden="1" x14ac:dyDescent="0.2">
      <c r="A279" s="124"/>
      <c r="B279" s="966"/>
      <c r="C279" s="967"/>
      <c r="D279" s="968"/>
      <c r="E279" s="37"/>
      <c r="F279" s="37"/>
      <c r="G279" s="37"/>
      <c r="H279" s="53"/>
      <c r="I279" s="972"/>
      <c r="J279" s="973"/>
      <c r="K279" s="973"/>
      <c r="L279" s="973"/>
      <c r="M279" s="973"/>
      <c r="N279" s="973"/>
      <c r="O279" s="974"/>
    </row>
    <row r="280" spans="1:15" ht="12.75" hidden="1" customHeight="1" x14ac:dyDescent="0.2">
      <c r="A280" s="306"/>
      <c r="B280" s="966"/>
      <c r="C280" s="967"/>
      <c r="D280" s="968"/>
      <c r="E280" s="129"/>
      <c r="F280" s="129"/>
      <c r="G280" s="129"/>
      <c r="H280" s="53"/>
      <c r="I280" s="975"/>
      <c r="J280" s="976"/>
      <c r="K280" s="976"/>
      <c r="L280" s="976"/>
      <c r="M280" s="976"/>
      <c r="N280" s="976"/>
      <c r="O280" s="977"/>
    </row>
    <row r="281" spans="1:15" ht="12.75" hidden="1" x14ac:dyDescent="0.2">
      <c r="A281" s="963"/>
      <c r="B281" s="964"/>
      <c r="C281" s="964"/>
      <c r="D281" s="964"/>
      <c r="E281" s="964"/>
      <c r="F281" s="964"/>
      <c r="G281" s="96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252"/>
      <c r="J284" s="1034"/>
      <c r="K284" s="1035"/>
      <c r="L284" s="1036"/>
      <c r="M284" s="129"/>
      <c r="N284" s="129"/>
      <c r="O284" s="129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8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34"/>
      <c r="K287" s="1035"/>
      <c r="L287" s="1036"/>
      <c r="M287" s="128"/>
      <c r="N287" s="128"/>
      <c r="O287" s="132"/>
    </row>
    <row r="288" spans="1:15" ht="12.75" hidden="1" x14ac:dyDescent="0.2">
      <c r="A288" s="124"/>
      <c r="B288" s="966"/>
      <c r="C288" s="967"/>
      <c r="D288" s="968"/>
      <c r="E288" s="37"/>
      <c r="F288" s="37"/>
      <c r="G288" s="37"/>
      <c r="H288" s="53"/>
      <c r="I288" s="315"/>
      <c r="J288" s="1023"/>
      <c r="K288" s="1023"/>
      <c r="L288" s="102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66"/>
      <c r="C289" s="967"/>
      <c r="D289" s="968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19">
        <f>M263</f>
        <v>0</v>
      </c>
      <c r="J290" s="1008"/>
      <c r="K290" s="1009"/>
      <c r="L290" s="1009"/>
      <c r="M290" s="1009"/>
      <c r="N290" s="1009"/>
      <c r="O290" s="1010"/>
    </row>
    <row r="291" spans="1:15" ht="12.75" hidden="1" x14ac:dyDescent="0.2">
      <c r="A291" s="124"/>
      <c r="B291" s="996"/>
      <c r="C291" s="997"/>
      <c r="D291" s="998"/>
      <c r="E291" s="37"/>
      <c r="F291" s="37"/>
      <c r="G291" s="37"/>
      <c r="H291" s="53"/>
      <c r="I291" s="420"/>
      <c r="J291" s="1011"/>
      <c r="K291" s="1012"/>
      <c r="L291" s="1012"/>
      <c r="M291" s="1012"/>
      <c r="N291" s="1012"/>
      <c r="O291" s="1013"/>
    </row>
    <row r="292" spans="1:15" ht="12.75" hidden="1" x14ac:dyDescent="0.2">
      <c r="A292" s="252"/>
      <c r="B292" s="966"/>
      <c r="C292" s="967"/>
      <c r="D292" s="311"/>
      <c r="E292" s="308"/>
      <c r="F292" s="308"/>
      <c r="G292" s="308"/>
      <c r="H292" s="53"/>
      <c r="I292" s="419">
        <f>N263</f>
        <v>0</v>
      </c>
      <c r="J292" s="1008"/>
      <c r="K292" s="1009"/>
      <c r="L292" s="1009"/>
      <c r="M292" s="1009"/>
      <c r="N292" s="1009"/>
      <c r="O292" s="1010"/>
    </row>
    <row r="293" spans="1:15" ht="12.75" hidden="1" x14ac:dyDescent="0.2">
      <c r="A293" s="124"/>
      <c r="B293" s="999"/>
      <c r="C293" s="1000"/>
      <c r="D293" s="1001"/>
      <c r="E293" s="129"/>
      <c r="F293" s="129"/>
      <c r="G293" s="129"/>
      <c r="H293" s="53"/>
      <c r="I293" s="420"/>
      <c r="J293" s="1014"/>
      <c r="K293" s="1015"/>
      <c r="L293" s="1015"/>
      <c r="M293" s="1015"/>
      <c r="N293" s="1015"/>
      <c r="O293" s="101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1008"/>
      <c r="K294" s="1009"/>
      <c r="L294" s="1009"/>
      <c r="M294" s="1009"/>
      <c r="N294" s="1009"/>
      <c r="O294" s="101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1014"/>
      <c r="K295" s="1015"/>
      <c r="L295" s="1015"/>
      <c r="M295" s="1015"/>
      <c r="N295" s="1015"/>
      <c r="O295" s="1016"/>
    </row>
  </sheetData>
  <sheetProtection algorithmName="SHA-512" hashValue="UFWV5exyzIdFduMIb9xRC3MyPgiVixP8IZwRv02/jnWWTaYDZUcS39PeKKXbH/n93DQV+L5+AxaoKhsLg2G1+A==" saltValue="LUzGjypKqLi0JwSRAs1Qz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zoomScaleNormal="100" workbookViewId="0">
      <selection activeCell="E128" sqref="E128:G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Fjalori'!A72</f>
        <v>Nënfunksioni 9</v>
      </c>
      <c r="B2" s="860" t="str">
        <f>+VLOOKUP($A2,'(B2) Struktura Organizative'!$A7:$E68,2,FALSE)</f>
        <v>047 Industri të tjera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Funksionale'!A54</f>
        <v>Programi 9a</v>
      </c>
      <c r="B6" s="940"/>
      <c r="C6" s="941" t="str">
        <f>VLOOKUP($A6,'(B3) Struktura Funksionale'!$A$7:$E$146,3,FALSE)</f>
        <v>Projekte Zhvillimi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Funksionale'!A55</f>
        <v>Programi 9b</v>
      </c>
      <c r="B7" s="940"/>
      <c r="C7" s="941" t="str">
        <f>VLOOKUP($A7,'(B3) Struktura Funksionale'!$A$7:$E$146,3,FALSE)</f>
        <v>Zhvillimi i turizmit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hidden="1" customHeight="1" x14ac:dyDescent="0.2">
      <c r="A8" s="939" t="str">
        <f>'(B3) Struktura Funksionale'!A56</f>
        <v>Programi 9c</v>
      </c>
      <c r="B8" s="940"/>
      <c r="C8" s="941" t="str">
        <f>VLOOKUP($A8,'(B3) Struktura Funksionale'!$A$7:$E$146,3,FALSE)</f>
        <v>Rekreacioni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customHeight="1" x14ac:dyDescent="0.2">
      <c r="A9" s="939" t="str">
        <f>'(B3) Struktura Funksionale'!A57</f>
        <v>Programi 9d</v>
      </c>
      <c r="B9" s="940"/>
      <c r="C9" s="941">
        <f>VLOOKUP($A9,'(B3) Struktura Funksionale'!$A$7:$E$146,3,FALSE)</f>
        <v>0</v>
      </c>
      <c r="D9" s="942"/>
      <c r="E9" s="942"/>
      <c r="F9" s="942"/>
      <c r="G9" s="942"/>
      <c r="H9" s="943"/>
      <c r="I9" s="941">
        <f>VLOOKUP($A9,'(B3) Struktura Funksionale'!$A$7:$E$146,4,FALSE)</f>
        <v>0</v>
      </c>
      <c r="J9" s="942"/>
      <c r="K9" s="943"/>
      <c r="L9" s="941">
        <f>VLOOKUP($A9,'(B3) Struktura Funksionale'!$A$7:$E$146,5,FALSE)</f>
        <v>0</v>
      </c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9</v>
      </c>
      <c r="B14" s="962" t="str">
        <f>B$2</f>
        <v>047 Industri të tjera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62" t="str">
        <f t="shared" si="20"/>
        <v>047 Industri të tjera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9a</v>
      </c>
      <c r="B67" s="962" t="str">
        <f>C6</f>
        <v>Projekte Zhvillimi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Funksionale'!B54</f>
        <v>04740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9</v>
      </c>
      <c r="B105" s="962" t="str">
        <f t="shared" si="36"/>
        <v>047 Industri të tjera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9b</v>
      </c>
      <c r="B106" s="962" t="str">
        <f>C7</f>
        <v>Zhvillimi i turizmit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 t="str">
        <f>'(B3) Struktura Funksionale'!B55</f>
        <v>04760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hidden="1" customHeight="1" x14ac:dyDescent="0.2">
      <c r="A144" s="213" t="str">
        <f t="shared" ref="A144:O144" si="53">A66</f>
        <v>Nënfunksioni 9</v>
      </c>
      <c r="B144" s="962" t="str">
        <f t="shared" si="53"/>
        <v>047 Industri të tjera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hidden="1" customHeight="1" x14ac:dyDescent="0.2">
      <c r="A145" s="276" t="str">
        <f>A8</f>
        <v>Programi 9c</v>
      </c>
      <c r="B145" s="962" t="str">
        <f>C8</f>
        <v>Rekreacioni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hidden="1" customHeight="1" x14ac:dyDescent="0.2">
      <c r="A146" s="647" t="str">
        <f>'(B3) Struktura Funksionale'!B56</f>
        <v>04742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8" t="str">
        <f t="shared" ref="A147:G147" si="54">A69</f>
        <v>SHPENZIME TË PRITSHME</v>
      </c>
      <c r="B147" s="959">
        <f t="shared" si="54"/>
        <v>0</v>
      </c>
      <c r="C147" s="959">
        <f t="shared" si="54"/>
        <v>0</v>
      </c>
      <c r="D147" s="959">
        <f t="shared" si="54"/>
        <v>0</v>
      </c>
      <c r="E147" s="959">
        <f t="shared" si="54"/>
        <v>0</v>
      </c>
      <c r="F147" s="959">
        <f t="shared" si="54"/>
        <v>0</v>
      </c>
      <c r="G147" s="979">
        <f t="shared" si="54"/>
        <v>0</v>
      </c>
      <c r="H147" s="131"/>
      <c r="I147" s="980" t="str">
        <f t="shared" ref="I147:O147" si="55">I69</f>
        <v xml:space="preserve">TË ARDHURAT E PRITSHME </v>
      </c>
      <c r="J147" s="959">
        <f t="shared" si="55"/>
        <v>0</v>
      </c>
      <c r="K147" s="959">
        <f t="shared" si="55"/>
        <v>0</v>
      </c>
      <c r="L147" s="959">
        <f t="shared" si="55"/>
        <v>0</v>
      </c>
      <c r="M147" s="959">
        <f t="shared" si="55"/>
        <v>0</v>
      </c>
      <c r="N147" s="959">
        <f t="shared" si="55"/>
        <v>0</v>
      </c>
      <c r="O147" s="97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hidden="1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hidden="1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37"/>
      <c r="F164" s="37"/>
      <c r="G164" s="37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hidden="1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hidden="1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hidden="1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hidden="1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62" t="str">
        <f t="shared" si="70"/>
        <v>047 Industri të tjera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x14ac:dyDescent="0.2">
      <c r="A184" s="276" t="str">
        <f>A9</f>
        <v>Programi 9d</v>
      </c>
      <c r="B184" s="962">
        <f>C9</f>
        <v>0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647">
        <f>'(B3) Struktura Funksionale'!B57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129"/>
      <c r="F203" s="129"/>
      <c r="G203" s="129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hidden="1" customHeight="1" x14ac:dyDescent="0.2">
      <c r="A222" s="213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17.25" hidden="1" customHeight="1" x14ac:dyDescent="0.2">
      <c r="A223" s="276"/>
      <c r="B223" s="962"/>
      <c r="C223" s="962"/>
      <c r="D223" s="962"/>
      <c r="E223" s="962"/>
      <c r="F223" s="962"/>
      <c r="G223" s="962"/>
      <c r="H223" s="962"/>
      <c r="I223" s="962"/>
      <c r="J223" s="962"/>
      <c r="K223" s="962"/>
      <c r="L223" s="962"/>
      <c r="M223" s="962"/>
      <c r="N223" s="962"/>
      <c r="O223" s="962"/>
    </row>
    <row r="224" spans="1:15" ht="21.75" hidden="1" customHeight="1" x14ac:dyDescent="0.2">
      <c r="A224" s="958"/>
      <c r="B224" s="959"/>
      <c r="C224" s="959"/>
      <c r="D224" s="959"/>
      <c r="E224" s="959"/>
      <c r="F224" s="959"/>
      <c r="G224" s="979"/>
      <c r="H224" s="131"/>
      <c r="I224" s="980"/>
      <c r="J224" s="959"/>
      <c r="K224" s="959"/>
      <c r="L224" s="959"/>
      <c r="M224" s="959"/>
      <c r="N224" s="959"/>
      <c r="O224" s="97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63"/>
      <c r="J227" s="964"/>
      <c r="K227" s="964"/>
      <c r="L227" s="964"/>
      <c r="M227" s="964"/>
      <c r="N227" s="964"/>
      <c r="O227" s="96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9"/>
      <c r="B229" s="970"/>
      <c r="C229" s="970"/>
      <c r="D229" s="970"/>
      <c r="E229" s="970"/>
      <c r="F229" s="970"/>
      <c r="G229" s="971"/>
      <c r="H229" s="10"/>
    </row>
    <row r="230" spans="1:15" ht="12.75" hidden="1" x14ac:dyDescent="0.2">
      <c r="A230" s="963"/>
      <c r="B230" s="964"/>
      <c r="C230" s="964"/>
      <c r="D230" s="964"/>
      <c r="E230" s="964"/>
      <c r="F230" s="964"/>
      <c r="G230" s="965"/>
      <c r="H230" s="31"/>
      <c r="I230" s="963"/>
      <c r="J230" s="964"/>
      <c r="K230" s="964"/>
      <c r="L230" s="964"/>
      <c r="M230" s="964"/>
      <c r="N230" s="964"/>
      <c r="O230" s="965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</row>
    <row r="241" spans="1:15" ht="12.75" hidden="1" x14ac:dyDescent="0.2">
      <c r="A241" s="124"/>
      <c r="B241" s="966"/>
      <c r="C241" s="967"/>
      <c r="D241" s="968"/>
      <c r="E241" s="37"/>
      <c r="F241" s="37"/>
      <c r="G241" s="37"/>
      <c r="H241" s="53"/>
      <c r="I241" s="972"/>
      <c r="J241" s="973"/>
      <c r="K241" s="973"/>
      <c r="L241" s="973"/>
      <c r="M241" s="973"/>
      <c r="N241" s="973"/>
      <c r="O241" s="974"/>
    </row>
    <row r="242" spans="1:15" ht="12.75" hidden="1" customHeight="1" x14ac:dyDescent="0.2">
      <c r="A242" s="306"/>
      <c r="B242" s="966"/>
      <c r="C242" s="967"/>
      <c r="D242" s="968"/>
      <c r="E242" s="129"/>
      <c r="F242" s="129"/>
      <c r="G242" s="129"/>
      <c r="H242" s="53"/>
      <c r="I242" s="975"/>
      <c r="J242" s="976"/>
      <c r="K242" s="976"/>
      <c r="L242" s="976"/>
      <c r="M242" s="976"/>
      <c r="N242" s="976"/>
      <c r="O242" s="977"/>
    </row>
    <row r="243" spans="1:15" ht="12.75" hidden="1" x14ac:dyDescent="0.2">
      <c r="A243" s="963"/>
      <c r="B243" s="964"/>
      <c r="C243" s="964"/>
      <c r="D243" s="964"/>
      <c r="E243" s="964"/>
      <c r="F243" s="964"/>
      <c r="G243" s="96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252"/>
      <c r="J246" s="1027"/>
      <c r="K246" s="1028"/>
      <c r="L246" s="1029"/>
      <c r="M246" s="129"/>
      <c r="N246" s="129"/>
      <c r="O246" s="129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8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7"/>
      <c r="K249" s="1028"/>
      <c r="L249" s="1029"/>
      <c r="M249" s="128"/>
      <c r="N249" s="128"/>
      <c r="O249" s="132"/>
    </row>
    <row r="250" spans="1:15" ht="12.75" hidden="1" x14ac:dyDescent="0.2">
      <c r="A250" s="124"/>
      <c r="B250" s="966"/>
      <c r="C250" s="967"/>
      <c r="D250" s="968"/>
      <c r="E250" s="37"/>
      <c r="F250" s="37"/>
      <c r="G250" s="37"/>
      <c r="H250" s="53"/>
      <c r="I250" s="315"/>
      <c r="J250" s="1023"/>
      <c r="K250" s="1023"/>
      <c r="L250" s="102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66"/>
      <c r="C251" s="967"/>
      <c r="D251" s="968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19">
        <f>M225</f>
        <v>0</v>
      </c>
      <c r="J252" s="1008"/>
      <c r="K252" s="1009"/>
      <c r="L252" s="1009"/>
      <c r="M252" s="1009"/>
      <c r="N252" s="1009"/>
      <c r="O252" s="1010"/>
    </row>
    <row r="253" spans="1:15" ht="12.75" hidden="1" x14ac:dyDescent="0.2">
      <c r="A253" s="124"/>
      <c r="B253" s="996"/>
      <c r="C253" s="997"/>
      <c r="D253" s="998"/>
      <c r="E253" s="37"/>
      <c r="F253" s="37"/>
      <c r="G253" s="37"/>
      <c r="H253" s="53"/>
      <c r="I253" s="420"/>
      <c r="J253" s="1011"/>
      <c r="K253" s="1012"/>
      <c r="L253" s="1012"/>
      <c r="M253" s="1012"/>
      <c r="N253" s="1012"/>
      <c r="O253" s="1013"/>
    </row>
    <row r="254" spans="1:15" ht="12.75" hidden="1" x14ac:dyDescent="0.2">
      <c r="A254" s="252"/>
      <c r="B254" s="966"/>
      <c r="C254" s="967"/>
      <c r="D254" s="311"/>
      <c r="E254" s="308"/>
      <c r="F254" s="308"/>
      <c r="G254" s="308"/>
      <c r="H254" s="53"/>
      <c r="I254" s="419">
        <f>N225</f>
        <v>0</v>
      </c>
      <c r="J254" s="1008"/>
      <c r="K254" s="1009"/>
      <c r="L254" s="1009"/>
      <c r="M254" s="1009"/>
      <c r="N254" s="1009"/>
      <c r="O254" s="1010"/>
    </row>
    <row r="255" spans="1:15" ht="12.75" hidden="1" x14ac:dyDescent="0.2">
      <c r="A255" s="124"/>
      <c r="B255" s="999"/>
      <c r="C255" s="1000"/>
      <c r="D255" s="1001"/>
      <c r="E255" s="129"/>
      <c r="F255" s="129"/>
      <c r="G255" s="129"/>
      <c r="H255" s="53"/>
      <c r="I255" s="420"/>
      <c r="J255" s="1014"/>
      <c r="K255" s="1015"/>
      <c r="L255" s="1015"/>
      <c r="M255" s="1015"/>
      <c r="N255" s="1015"/>
      <c r="O255" s="101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1008"/>
      <c r="K256" s="1009"/>
      <c r="L256" s="1009"/>
      <c r="M256" s="1009"/>
      <c r="N256" s="1009"/>
      <c r="O256" s="101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1014"/>
      <c r="K257" s="1015"/>
      <c r="L257" s="1015"/>
      <c r="M257" s="1015"/>
      <c r="N257" s="1015"/>
      <c r="O257" s="101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17.25" hidden="1" customHeight="1" x14ac:dyDescent="0.2">
      <c r="A261" s="276"/>
      <c r="B261" s="962"/>
      <c r="C261" s="962"/>
      <c r="D261" s="962"/>
      <c r="E261" s="962"/>
      <c r="F261" s="962"/>
      <c r="G261" s="962"/>
      <c r="H261" s="962"/>
      <c r="I261" s="962"/>
      <c r="J261" s="962"/>
      <c r="K261" s="962"/>
      <c r="L261" s="962"/>
      <c r="M261" s="962"/>
      <c r="N261" s="962"/>
      <c r="O261" s="962"/>
    </row>
    <row r="262" spans="1:15" ht="22.5" hidden="1" customHeight="1" x14ac:dyDescent="0.2">
      <c r="A262" s="958"/>
      <c r="B262" s="959"/>
      <c r="C262" s="959"/>
      <c r="D262" s="959"/>
      <c r="E262" s="959"/>
      <c r="F262" s="959"/>
      <c r="G262" s="979"/>
      <c r="H262" s="131"/>
      <c r="I262" s="980"/>
      <c r="J262" s="959"/>
      <c r="K262" s="959"/>
      <c r="L262" s="959"/>
      <c r="M262" s="959"/>
      <c r="N262" s="959"/>
      <c r="O262" s="97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63"/>
      <c r="J265" s="964"/>
      <c r="K265" s="964"/>
      <c r="L265" s="964"/>
      <c r="M265" s="964"/>
      <c r="N265" s="964"/>
      <c r="O265" s="96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30"/>
      <c r="B267" s="1031"/>
      <c r="C267" s="1031"/>
      <c r="D267" s="1031"/>
      <c r="E267" s="1031"/>
      <c r="F267" s="1031"/>
      <c r="G267" s="1032"/>
      <c r="H267" s="10"/>
    </row>
    <row r="268" spans="1:15" ht="12.75" hidden="1" x14ac:dyDescent="0.2">
      <c r="A268" s="963"/>
      <c r="B268" s="964"/>
      <c r="C268" s="964"/>
      <c r="D268" s="964"/>
      <c r="E268" s="964"/>
      <c r="F268" s="964"/>
      <c r="G268" s="965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</row>
    <row r="279" spans="1:15" ht="12.75" hidden="1" x14ac:dyDescent="0.2">
      <c r="A279" s="124"/>
      <c r="B279" s="966"/>
      <c r="C279" s="967"/>
      <c r="D279" s="968"/>
      <c r="E279" s="37"/>
      <c r="F279" s="37"/>
      <c r="G279" s="37"/>
      <c r="H279" s="53"/>
      <c r="I279" s="972"/>
      <c r="J279" s="973"/>
      <c r="K279" s="973"/>
      <c r="L279" s="973"/>
      <c r="M279" s="973"/>
      <c r="N279" s="973"/>
      <c r="O279" s="974"/>
    </row>
    <row r="280" spans="1:15" ht="12.75" hidden="1" customHeight="1" x14ac:dyDescent="0.2">
      <c r="A280" s="306"/>
      <c r="B280" s="966"/>
      <c r="C280" s="967"/>
      <c r="D280" s="968"/>
      <c r="E280" s="129"/>
      <c r="F280" s="129"/>
      <c r="G280" s="129"/>
      <c r="H280" s="53"/>
      <c r="I280" s="975"/>
      <c r="J280" s="976"/>
      <c r="K280" s="976"/>
      <c r="L280" s="976"/>
      <c r="M280" s="976"/>
      <c r="N280" s="976"/>
      <c r="O280" s="977"/>
    </row>
    <row r="281" spans="1:15" ht="12.75" hidden="1" x14ac:dyDescent="0.2">
      <c r="A281" s="963"/>
      <c r="B281" s="964"/>
      <c r="C281" s="964"/>
      <c r="D281" s="964"/>
      <c r="E281" s="964"/>
      <c r="F281" s="964"/>
      <c r="G281" s="96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252"/>
      <c r="J284" s="1034"/>
      <c r="K284" s="1035"/>
      <c r="L284" s="1036"/>
      <c r="M284" s="129"/>
      <c r="N284" s="129"/>
      <c r="O284" s="129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8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34"/>
      <c r="K287" s="1035"/>
      <c r="L287" s="1036"/>
      <c r="M287" s="128"/>
      <c r="N287" s="128"/>
      <c r="O287" s="132"/>
    </row>
    <row r="288" spans="1:15" ht="12.75" hidden="1" x14ac:dyDescent="0.2">
      <c r="A288" s="124"/>
      <c r="B288" s="966"/>
      <c r="C288" s="967"/>
      <c r="D288" s="968"/>
      <c r="E288" s="37"/>
      <c r="F288" s="37"/>
      <c r="G288" s="37"/>
      <c r="H288" s="53"/>
      <c r="I288" s="315"/>
      <c r="J288" s="1023"/>
      <c r="K288" s="1023"/>
      <c r="L288" s="102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66"/>
      <c r="C289" s="967"/>
      <c r="D289" s="968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19">
        <f>M263</f>
        <v>0</v>
      </c>
      <c r="J290" s="1008"/>
      <c r="K290" s="1009"/>
      <c r="L290" s="1009"/>
      <c r="M290" s="1009"/>
      <c r="N290" s="1009"/>
      <c r="O290" s="1010"/>
    </row>
    <row r="291" spans="1:15" ht="12.75" hidden="1" x14ac:dyDescent="0.2">
      <c r="A291" s="124"/>
      <c r="B291" s="996"/>
      <c r="C291" s="997"/>
      <c r="D291" s="998"/>
      <c r="E291" s="37"/>
      <c r="F291" s="37"/>
      <c r="G291" s="37"/>
      <c r="H291" s="53"/>
      <c r="I291" s="420"/>
      <c r="J291" s="1011"/>
      <c r="K291" s="1012"/>
      <c r="L291" s="1012"/>
      <c r="M291" s="1012"/>
      <c r="N291" s="1012"/>
      <c r="O291" s="1013"/>
    </row>
    <row r="292" spans="1:15" ht="12.75" hidden="1" x14ac:dyDescent="0.2">
      <c r="A292" s="252"/>
      <c r="B292" s="966"/>
      <c r="C292" s="967"/>
      <c r="D292" s="311"/>
      <c r="E292" s="308"/>
      <c r="F292" s="308"/>
      <c r="G292" s="308"/>
      <c r="H292" s="53"/>
      <c r="I292" s="419">
        <f>N263</f>
        <v>0</v>
      </c>
      <c r="J292" s="1008"/>
      <c r="K292" s="1009"/>
      <c r="L292" s="1009"/>
      <c r="M292" s="1009"/>
      <c r="N292" s="1009"/>
      <c r="O292" s="1010"/>
    </row>
    <row r="293" spans="1:15" ht="12.75" hidden="1" x14ac:dyDescent="0.2">
      <c r="A293" s="124"/>
      <c r="B293" s="999"/>
      <c r="C293" s="1000"/>
      <c r="D293" s="1001"/>
      <c r="E293" s="129"/>
      <c r="F293" s="129"/>
      <c r="G293" s="129"/>
      <c r="H293" s="53"/>
      <c r="I293" s="420"/>
      <c r="J293" s="1014"/>
      <c r="K293" s="1015"/>
      <c r="L293" s="1015"/>
      <c r="M293" s="1015"/>
      <c r="N293" s="1015"/>
      <c r="O293" s="101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1008"/>
      <c r="K294" s="1009"/>
      <c r="L294" s="1009"/>
      <c r="M294" s="1009"/>
      <c r="N294" s="1009"/>
      <c r="O294" s="101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1014"/>
      <c r="K295" s="1015"/>
      <c r="L295" s="1015"/>
      <c r="M295" s="1015"/>
      <c r="N295" s="1015"/>
      <c r="O295" s="1016"/>
    </row>
  </sheetData>
  <sheetProtection algorithmName="SHA-512" hashValue="SbGFp9knh/yVhnM2AEPPLIi8Sfe0fJPYmSdRc5hAq9crkNEWde4VCL7vdAJfp6HD9izIzwLZkY4iNXEpwvbLlA==" saltValue="5apWweeqKY9T2bF1i09CiQ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36" zoomScaleNormal="100" workbookViewId="0">
      <selection activeCell="E93" sqref="E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Fjalori'!A73</f>
        <v>Nënfunksioni 10</v>
      </c>
      <c r="B2" s="860" t="str">
        <f>+VLOOKUP($A2,'(B2) Struktura Organizative'!$A7:$E68,2,FALSE)</f>
        <v>051 Menaxhimi i i mbetjeve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Funksionale'!A60</f>
        <v>Programi 10a</v>
      </c>
      <c r="B6" s="940"/>
      <c r="C6" s="941" t="str">
        <f>VLOOKUP($A6,'(B3) Struktura Funksionale'!$A$7:$E$146,3,FALSE)</f>
        <v>Menaxhimi i mbetjeve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Funksionale'!A61</f>
        <v>Programi 10b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Funksionale'!A62</f>
        <v>Programi 10c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10</v>
      </c>
      <c r="B14" s="962" t="str">
        <f>B$2</f>
        <v>051 Menaxhimi i i mbetjeve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23610</v>
      </c>
      <c r="F18" s="129">
        <f t="shared" si="1"/>
        <v>24610</v>
      </c>
      <c r="G18" s="129">
        <f t="shared" si="1"/>
        <v>24110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23610</v>
      </c>
      <c r="N34" s="18">
        <f t="shared" si="6"/>
        <v>24610</v>
      </c>
      <c r="O34" s="18">
        <f t="shared" si="6"/>
        <v>24110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19365</v>
      </c>
      <c r="F35" s="305">
        <f t="shared" si="7"/>
        <v>20165</v>
      </c>
      <c r="G35" s="305">
        <f t="shared" si="7"/>
        <v>19715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3235</v>
      </c>
      <c r="F36" s="305">
        <f t="shared" si="7"/>
        <v>3435</v>
      </c>
      <c r="G36" s="305">
        <f t="shared" si="7"/>
        <v>3385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1010</v>
      </c>
      <c r="F37" s="305">
        <f t="shared" si="7"/>
        <v>1010</v>
      </c>
      <c r="G37" s="305">
        <f t="shared" si="7"/>
        <v>1010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23610</v>
      </c>
      <c r="F46" s="129">
        <f t="shared" si="7"/>
        <v>24610</v>
      </c>
      <c r="G46" s="129">
        <f t="shared" si="7"/>
        <v>24110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23610</v>
      </c>
      <c r="F48" s="129">
        <f t="shared" si="11"/>
        <v>24610</v>
      </c>
      <c r="G48" s="129">
        <f t="shared" si="11"/>
        <v>24110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23610</v>
      </c>
      <c r="N52" s="138">
        <f>VLOOKUP($A14,'(D1) Tavanet buxhetore'!$A$7:$R$473,8,FALSE)</f>
        <v>24610</v>
      </c>
      <c r="O52" s="673">
        <f>VLOOKUP($A14,'(D1) Tavanet buxhetore'!$A$7:$R$473,9,FALSE)</f>
        <v>24110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23610</v>
      </c>
      <c r="N53" s="139">
        <f t="shared" ref="N53:O53" si="13">F18</f>
        <v>24610</v>
      </c>
      <c r="O53" s="674">
        <f t="shared" si="13"/>
        <v>24110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22600</v>
      </c>
      <c r="N55" s="138">
        <f>VLOOKUP($A14,'(D1) Tavanet buxhetore'!$A$7:$R$473,11,FALSE)</f>
        <v>23600</v>
      </c>
      <c r="O55" s="673">
        <f>VLOOKUP($A14,'(D1) Tavanet buxhetore'!$A$7:$R$473,12,FALSE)</f>
        <v>23100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22600</v>
      </c>
      <c r="N56" s="139">
        <f t="shared" ref="N56:O56" si="15">F22+F35+F23+F36</f>
        <v>23600</v>
      </c>
      <c r="O56" s="674">
        <f t="shared" si="15"/>
        <v>23100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1010</v>
      </c>
      <c r="N58" s="138">
        <f>VLOOKUP($A14,'(D1) Tavanet buxhetore'!$A$7:$R$473,14,FALSE)</f>
        <v>1010</v>
      </c>
      <c r="O58" s="673">
        <f>VLOOKUP($A14,'(D1) Tavanet buxhetore'!$A$7:$R$473,15,FALSE)</f>
        <v>1010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1010</v>
      </c>
      <c r="N59" s="139">
        <f>N53-N56-N62</f>
        <v>1010</v>
      </c>
      <c r="O59" s="674">
        <f>O53-O56-O62</f>
        <v>1010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62" t="str">
        <f t="shared" si="20"/>
        <v>051 Menaxhimi i i mbetjeve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10a</v>
      </c>
      <c r="B67" s="962" t="str">
        <f>C6</f>
        <v>Menaxhimi i mbetjeve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Funksionale'!B60</f>
        <v>05100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23610</v>
      </c>
      <c r="F72" s="416">
        <v>24610</v>
      </c>
      <c r="G72" s="416">
        <v>24110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23610</v>
      </c>
      <c r="N88" s="18">
        <f t="shared" si="31"/>
        <v>24610</v>
      </c>
      <c r="O88" s="18">
        <f t="shared" si="31"/>
        <v>24110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19365</v>
      </c>
      <c r="F89" s="37">
        <f>19365+800</f>
        <v>20165</v>
      </c>
      <c r="G89" s="37">
        <f>19365+350</f>
        <v>19715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3235</v>
      </c>
      <c r="F90" s="37">
        <f>3235+200</f>
        <v>3435</v>
      </c>
      <c r="G90" s="37">
        <f>3235+150</f>
        <v>3385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1010</v>
      </c>
      <c r="F91" s="37">
        <v>1010</v>
      </c>
      <c r="G91" s="37">
        <v>1010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28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23610</v>
      </c>
      <c r="F100" s="129">
        <f t="shared" ref="F100:G100" si="33">SUM(F89:F99)</f>
        <v>24610</v>
      </c>
      <c r="G100" s="129">
        <f t="shared" si="33"/>
        <v>24110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23610</v>
      </c>
      <c r="F102" s="129">
        <f>F87+F100</f>
        <v>24610</v>
      </c>
      <c r="G102" s="129">
        <f t="shared" ref="G102" si="35">G87+G100</f>
        <v>24110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10</v>
      </c>
      <c r="B105" s="962" t="str">
        <f t="shared" si="36"/>
        <v>051 Menaxhimi i i mbetjeve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10b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Funksionale'!B61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10</v>
      </c>
      <c r="B144" s="962" t="str">
        <f t="shared" si="53"/>
        <v>051 Menaxhimi i i mbetjeve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10c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Funksionale'!B62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8ttYq9zlIIKCExcGBKPOct5qkdjslhSZ/RAfTCnsi/Qal/H7RHf+1Zdrxa3VS2kEgFyU0xEQl2S75kjYtprTCg==" saltValue="Lu2mNk+7Ybx8hO+aYj2nL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93" zoomScaleNormal="100" workbookViewId="0">
      <selection activeCell="N93" sqref="N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Fjalori'!A74</f>
        <v>Nënfunksioni 11</v>
      </c>
      <c r="B2" s="860" t="str">
        <f>+VLOOKUP($A2,'(B2) Struktura Organizative'!$A7:$E68,2,FALSE)</f>
        <v>052 Menaxhimi i ujrave të zeza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Funksionale'!A64</f>
        <v>Programi 11a</v>
      </c>
      <c r="B6" s="940"/>
      <c r="C6" s="941" t="str">
        <f>VLOOKUP($A6,'(B3) Struktura Funksionale'!$A$7:$E$146,3,FALSE)</f>
        <v>Menaxhimi i ujrave të zeza dhe kanalizimeve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Funksionale'!A65</f>
        <v>Programi 11b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Funksionale'!A66</f>
        <v>Programi 11c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11</v>
      </c>
      <c r="B14" s="962" t="str">
        <f>B$2</f>
        <v>052 Menaxhimi i ujrave të zeza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62" t="str">
        <f t="shared" si="20"/>
        <v>052 Menaxhimi i ujrave të zeza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11a</v>
      </c>
      <c r="B67" s="962" t="str">
        <f>C6</f>
        <v>Menaxhimi i ujrave të zeza dhe kanalizimeve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Funksionale'!B64</f>
        <v>05200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11</v>
      </c>
      <c r="B105" s="962" t="str">
        <f t="shared" si="36"/>
        <v>052 Menaxhimi i ujrave të zeza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11b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Funksionale'!B65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11</v>
      </c>
      <c r="B144" s="962" t="str">
        <f t="shared" si="53"/>
        <v>052 Menaxhimi i ujrave të zeza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11c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Funksionale'!B66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+wzFVT69lRnenvuB/tW2d4FP5QIkIJd7ZoATps5n+XMpIlkOXum784MvZ4ReWmsDvdqQGPxB82yg7LI/m6zErA==" saltValue="igB5ADdEiSaOyXSmifd+Y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36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Fjalori'!A75</f>
        <v>Nënfunksioni 12</v>
      </c>
      <c r="B2" s="860" t="str">
        <f>+VLOOKUP($A2,'(B2) Struktura Organizative'!$A7:$E68,2,FALSE)</f>
        <v>053 Reduktimi i ndotjes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Funksionale'!A68</f>
        <v>Programi 12a</v>
      </c>
      <c r="B6" s="940"/>
      <c r="C6" s="941" t="str">
        <f>VLOOKUP($A6,'(B3) Struktura Funksionale'!$A$7:$E$146,3,FALSE)</f>
        <v>Programet e mbrojtjes së mjedisit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Funksionale'!A69</f>
        <v>Programi 12b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Funksionale'!A70</f>
        <v>Programi 12c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12</v>
      </c>
      <c r="B14" s="962" t="str">
        <f>B$2</f>
        <v>053 Reduktimi i ndotjes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62" t="str">
        <f t="shared" si="20"/>
        <v>053 Reduktimi i ndotjes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12a</v>
      </c>
      <c r="B67" s="962" t="str">
        <f>C6</f>
        <v>Programet e mbrojtjes së mjedisit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Funksionale'!B68</f>
        <v>05320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12</v>
      </c>
      <c r="B105" s="962" t="str">
        <f t="shared" si="36"/>
        <v>053 Reduktimi i ndotjes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12b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Funksionale'!B69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12</v>
      </c>
      <c r="B144" s="962" t="str">
        <f t="shared" si="53"/>
        <v>053 Reduktimi i ndotjes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12c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Funksionale'!B70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vWtSTJEUFFhIb9tdqACXgU60YqKlKuMratHS7hlj4i0sMET3hV2kXCDbzfG6NJfmj7vOfwTMmbJbMHtdmRAKpA==" saltValue="oH48IiRgzGF1PAyfI3Mm9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topLeftCell="A72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Fjalori'!A76</f>
        <v>Nënfunksioni 13</v>
      </c>
      <c r="B2" s="860" t="str">
        <f>+VLOOKUP($A2,'(B2) Struktura Organizative'!$A7:$E68,2,FALSE)</f>
        <v>056 Mbrojtja e mjedisit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Funksionale'!A72</f>
        <v>Programi 13a</v>
      </c>
      <c r="B6" s="940"/>
      <c r="C6" s="941" t="str">
        <f>VLOOKUP($A6,'(B3) Struktura Funksionale'!$A$7:$E$146,3,FALSE)</f>
        <v>Ndërgjegjësimi mjedisor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Funksionale'!A73</f>
        <v>Programi 13b</v>
      </c>
      <c r="B7" s="940"/>
      <c r="C7" s="941" t="str">
        <f>VLOOKUP($A7,'(B3) Struktura Funksionale'!$A$7:$E$146,3,FALSE)</f>
        <v>Administrimi i resurseve ujore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Funksionale'!A74</f>
        <v>Programi 13c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13</v>
      </c>
      <c r="B14" s="962" t="str">
        <f>B$2</f>
        <v>056 Mbrojtja e mjedisit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62" t="str">
        <f t="shared" si="20"/>
        <v>056 Mbrojtja e mjedisit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13a</v>
      </c>
      <c r="B67" s="962" t="str">
        <f>C6</f>
        <v>Ndërgjegjësimi mjedisor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Funksionale'!B72</f>
        <v>05630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62" t="str">
        <f t="shared" si="36"/>
        <v>056 Mbrojtja e mjedisit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62" t="str">
        <f>C7</f>
        <v>Administrimi i resurseve ujore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Funksionale'!B73</f>
        <v>05640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62" t="str">
        <f t="shared" si="53"/>
        <v>056 Mbrojtja e mjedisit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13c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Funksionale'!B74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autRelgyHztI2zEphofxLF2rMnCZFiX1moJB05YqPxgmEfGpd3FzmgLgJ8wllFDscONx37b+65TTvpgkdOuPng==" saltValue="f0e/PDaPC24DGQqxY5p6Y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75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Fjalori'!A77</f>
        <v>Nënfunksioni 14</v>
      </c>
      <c r="B2" s="860" t="str">
        <f>+VLOOKUP($A2,'(B2) Struktura Organizative'!$A7:$E68,2,FALSE)</f>
        <v>061 Urbanistika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Funksionale'!A77</f>
        <v>Programi 14a</v>
      </c>
      <c r="B6" s="940"/>
      <c r="C6" s="941" t="str">
        <f>VLOOKUP($A6,'(B3) Struktura Funksionale'!$A$7:$E$146,3,FALSE)</f>
        <v>Planifikimi Urban Vendor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Funksionale'!A78</f>
        <v>Programi 14b</v>
      </c>
      <c r="B7" s="940"/>
      <c r="C7" s="941" t="str">
        <f>VLOOKUP($A7,'(B3) Struktura Funksionale'!$A$7:$E$146,3,FALSE)</f>
        <v>Planifikimi urban dhe strehimi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Funksionale'!A79</f>
        <v>Programi 14c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14</v>
      </c>
      <c r="B14" s="962" t="str">
        <f>B$2</f>
        <v>061 Urbanistika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62" t="str">
        <f t="shared" si="20"/>
        <v>061 Urbanistika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14a</v>
      </c>
      <c r="B67" s="962" t="str">
        <f>C6</f>
        <v>Planifikimi Urban Vendor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Funksionale'!B77</f>
        <v>06140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62" t="str">
        <f t="shared" si="36"/>
        <v>061 Urbanistika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62" t="str">
        <f>C7</f>
        <v>Planifikimi urban dhe strehimi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Funksionale'!B78</f>
        <v>06180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62" t="str">
        <f t="shared" si="53"/>
        <v>061 Urbanistika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14c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Funksionale'!B79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tJ+z9PsZfhcfDGTOcjvCwJxr7PNllHaSDuqsYlQTw+k5jQ9XTCF5BFNt42H4O7QIoOuKKdGwE0VJdfZghN+piQ==" saltValue="VrFeZ4aUJv1v8cNRusuB5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A49" zoomScaleNormal="100" workbookViewId="0">
      <selection activeCell="F46" sqref="F46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48" t="str">
        <f>'(G1) Fjalori'!A13</f>
        <v>Verdhë = Per tu plotësuar nga Departamenti i Financës</v>
      </c>
      <c r="B1" s="849"/>
      <c r="C1" s="849"/>
      <c r="D1" s="849"/>
      <c r="E1" s="849"/>
      <c r="F1" s="849"/>
      <c r="G1" s="849"/>
      <c r="H1" s="850"/>
    </row>
    <row r="2" spans="1:8" s="97" customFormat="1" x14ac:dyDescent="0.2"/>
    <row r="3" spans="1:8" s="218" customFormat="1" ht="21" x14ac:dyDescent="0.25">
      <c r="A3" s="844" t="str">
        <f>'(G1) Fjalori'!A27</f>
        <v>(B2) STRUKTURA ORGANIZATIVE</v>
      </c>
      <c r="B3" s="851"/>
      <c r="C3" s="851"/>
      <c r="D3" s="851"/>
      <c r="E3" s="851"/>
      <c r="F3" s="851"/>
      <c r="G3" s="851"/>
      <c r="H3" s="845"/>
    </row>
    <row r="5" spans="1:8" s="2" customFormat="1" ht="25.5" customHeight="1" x14ac:dyDescent="0.25">
      <c r="A5" s="855" t="str">
        <f>'(G1) Fjalori'!A28</f>
        <v>Numër</v>
      </c>
      <c r="B5" s="855" t="str">
        <f>'(G1) Fjalori'!A29</f>
        <v>Emri i Nënfunksionit</v>
      </c>
      <c r="C5" s="855" t="str">
        <f>'(G1) Fjalori'!A30</f>
        <v>Drejtoria / Departamenti</v>
      </c>
      <c r="D5" s="855" t="str">
        <f>'(G1) Fjalori'!A31</f>
        <v>Kryetari i programit</v>
      </c>
      <c r="E5" s="852" t="str">
        <f>'(G1) Fjalori'!A34</f>
        <v>Numri i punonjësve</v>
      </c>
      <c r="F5" s="853"/>
      <c r="G5" s="853"/>
      <c r="H5" s="854"/>
    </row>
    <row r="6" spans="1:8" s="2" customFormat="1" ht="25.5" x14ac:dyDescent="0.25">
      <c r="A6" s="856"/>
      <c r="B6" s="856"/>
      <c r="C6" s="856"/>
      <c r="D6" s="856"/>
      <c r="E6" s="545" t="str">
        <f>'(G1) Fjalori'!A7</f>
        <v>Viti aktual</v>
      </c>
      <c r="F6" s="545" t="str">
        <f>'(G1) Fjalori'!A8</f>
        <v>Viti t+1 (I pritur)</v>
      </c>
      <c r="G6" s="545" t="str">
        <f>'(G1) Fjalori'!A9</f>
        <v>Viti t+2 (I pritur)</v>
      </c>
      <c r="H6" s="545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6"/>
      <c r="D7" s="797"/>
      <c r="E7" s="798">
        <f>E8+E9+E10</f>
        <v>242</v>
      </c>
      <c r="F7" s="798">
        <f t="shared" ref="F7:H7" si="0">F8+F9+F10</f>
        <v>245</v>
      </c>
      <c r="G7" s="798">
        <f t="shared" si="0"/>
        <v>243</v>
      </c>
      <c r="H7" s="798">
        <f t="shared" si="0"/>
        <v>240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 t="s">
        <v>1936</v>
      </c>
      <c r="D8" s="55" t="s">
        <v>1941</v>
      </c>
      <c r="E8" s="799">
        <f>171+12+36</f>
        <v>219</v>
      </c>
      <c r="F8" s="799">
        <f>170+14+38</f>
        <v>222</v>
      </c>
      <c r="G8" s="799">
        <f>172+13+35</f>
        <v>220</v>
      </c>
      <c r="H8" s="799">
        <f>170+12+35</f>
        <v>217</v>
      </c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 t="s">
        <v>1937</v>
      </c>
      <c r="D9" s="55" t="s">
        <v>1938</v>
      </c>
      <c r="E9" s="799">
        <v>9</v>
      </c>
      <c r="F9" s="799">
        <v>9</v>
      </c>
      <c r="G9" s="799">
        <v>9</v>
      </c>
      <c r="H9" s="799">
        <v>9</v>
      </c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 t="s">
        <v>1939</v>
      </c>
      <c r="D10" s="55" t="s">
        <v>1940</v>
      </c>
      <c r="E10" s="799">
        <v>14</v>
      </c>
      <c r="F10" s="799">
        <v>14</v>
      </c>
      <c r="G10" s="799">
        <v>14</v>
      </c>
      <c r="H10" s="799">
        <v>14</v>
      </c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7"/>
      <c r="D11" s="797"/>
      <c r="E11" s="798">
        <f>E12</f>
        <v>12</v>
      </c>
      <c r="F11" s="798">
        <f t="shared" ref="F11:H11" si="1">F12</f>
        <v>12</v>
      </c>
      <c r="G11" s="798">
        <f t="shared" si="1"/>
        <v>12</v>
      </c>
      <c r="H11" s="798">
        <f t="shared" si="1"/>
        <v>12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 t="s">
        <v>1942</v>
      </c>
      <c r="D12" s="55" t="s">
        <v>1943</v>
      </c>
      <c r="E12" s="799">
        <v>12</v>
      </c>
      <c r="F12" s="799">
        <v>12</v>
      </c>
      <c r="G12" s="799">
        <v>12</v>
      </c>
      <c r="H12" s="799">
        <v>12</v>
      </c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7"/>
      <c r="D13" s="797"/>
      <c r="E13" s="798">
        <f>E14</f>
        <v>21</v>
      </c>
      <c r="F13" s="798">
        <f t="shared" ref="F13:H13" si="2">F14</f>
        <v>21</v>
      </c>
      <c r="G13" s="798">
        <f t="shared" si="2"/>
        <v>21</v>
      </c>
      <c r="H13" s="798">
        <f t="shared" si="2"/>
        <v>21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 t="s">
        <v>1944</v>
      </c>
      <c r="D14" s="55" t="s">
        <v>1945</v>
      </c>
      <c r="E14" s="799">
        <v>21</v>
      </c>
      <c r="F14" s="799">
        <v>21</v>
      </c>
      <c r="G14" s="799">
        <v>21</v>
      </c>
      <c r="H14" s="799">
        <v>21</v>
      </c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7"/>
      <c r="D15" s="797"/>
      <c r="E15" s="798">
        <f>E16</f>
        <v>2</v>
      </c>
      <c r="F15" s="798">
        <f t="shared" ref="F15:H15" si="3">F16</f>
        <v>2</v>
      </c>
      <c r="G15" s="798">
        <f t="shared" si="3"/>
        <v>2</v>
      </c>
      <c r="H15" s="798">
        <f t="shared" si="3"/>
        <v>2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 t="s">
        <v>1946</v>
      </c>
      <c r="D16" s="55" t="s">
        <v>1947</v>
      </c>
      <c r="E16" s="799">
        <v>2</v>
      </c>
      <c r="F16" s="799">
        <v>2</v>
      </c>
      <c r="G16" s="799">
        <v>2</v>
      </c>
      <c r="H16" s="799">
        <v>2</v>
      </c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7"/>
      <c r="D17" s="797"/>
      <c r="E17" s="798">
        <f>E18</f>
        <v>0</v>
      </c>
      <c r="F17" s="798">
        <f t="shared" ref="F17:H17" si="4">F18</f>
        <v>0</v>
      </c>
      <c r="G17" s="798">
        <f t="shared" si="4"/>
        <v>0</v>
      </c>
      <c r="H17" s="798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/>
      <c r="D18" s="55"/>
      <c r="E18" s="799"/>
      <c r="F18" s="799"/>
      <c r="G18" s="799"/>
      <c r="H18" s="799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7"/>
      <c r="D19" s="797"/>
      <c r="E19" s="798">
        <f>E20+E21</f>
        <v>0</v>
      </c>
      <c r="F19" s="798">
        <f t="shared" ref="F19:H19" si="5">F20+F21</f>
        <v>0</v>
      </c>
      <c r="G19" s="798">
        <f t="shared" si="5"/>
        <v>0</v>
      </c>
      <c r="H19" s="798">
        <f t="shared" si="5"/>
        <v>0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/>
      <c r="D20" s="55"/>
      <c r="E20" s="799"/>
      <c r="F20" s="799"/>
      <c r="G20" s="799"/>
      <c r="H20" s="799"/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799"/>
      <c r="F21" s="799"/>
      <c r="G21" s="799"/>
      <c r="H21" s="799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7"/>
      <c r="D22" s="797"/>
      <c r="E22" s="798">
        <f>E23+E24+E25</f>
        <v>28</v>
      </c>
      <c r="F22" s="798">
        <f t="shared" ref="F22:H22" si="6">F23+F24+F25</f>
        <v>30</v>
      </c>
      <c r="G22" s="798">
        <f t="shared" si="6"/>
        <v>28</v>
      </c>
      <c r="H22" s="798">
        <f t="shared" si="6"/>
        <v>30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 t="s">
        <v>1948</v>
      </c>
      <c r="D23" s="55" t="s">
        <v>1949</v>
      </c>
      <c r="E23" s="799">
        <v>28</v>
      </c>
      <c r="F23" s="799">
        <v>30</v>
      </c>
      <c r="G23" s="799">
        <v>28</v>
      </c>
      <c r="H23" s="799">
        <v>30</v>
      </c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/>
      <c r="D24" s="55"/>
      <c r="E24" s="799"/>
      <c r="F24" s="799"/>
      <c r="G24" s="799"/>
      <c r="H24" s="799"/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/>
      <c r="D25" s="55"/>
      <c r="E25" s="799"/>
      <c r="F25" s="799"/>
      <c r="G25" s="799"/>
      <c r="H25" s="799"/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7"/>
      <c r="D26" s="797"/>
      <c r="E26" s="798">
        <f>E27+E28</f>
        <v>0</v>
      </c>
      <c r="F26" s="798">
        <f t="shared" ref="F26:H26" si="7">F27+F28</f>
        <v>0</v>
      </c>
      <c r="G26" s="798">
        <f t="shared" si="7"/>
        <v>0</v>
      </c>
      <c r="H26" s="798">
        <f t="shared" si="7"/>
        <v>0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/>
      <c r="D27" s="55"/>
      <c r="E27" s="799"/>
      <c r="F27" s="799"/>
      <c r="G27" s="799"/>
      <c r="H27" s="799"/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799"/>
      <c r="F28" s="799"/>
      <c r="G28" s="799"/>
      <c r="H28" s="799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7"/>
      <c r="D29" s="797"/>
      <c r="E29" s="798">
        <f>E30+E31</f>
        <v>0</v>
      </c>
      <c r="F29" s="798">
        <f t="shared" ref="F29:H29" si="8">F30+F31</f>
        <v>0</v>
      </c>
      <c r="G29" s="798">
        <f t="shared" si="8"/>
        <v>0</v>
      </c>
      <c r="H29" s="798">
        <f t="shared" si="8"/>
        <v>0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799"/>
      <c r="F30" s="799"/>
      <c r="G30" s="799"/>
      <c r="H30" s="799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/>
      <c r="D31" s="55"/>
      <c r="E31" s="799"/>
      <c r="F31" s="799"/>
      <c r="G31" s="799"/>
      <c r="H31" s="799"/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7"/>
      <c r="D32" s="797"/>
      <c r="E32" s="798">
        <f>E33</f>
        <v>65</v>
      </c>
      <c r="F32" s="798">
        <f t="shared" ref="F32:H32" si="9">F33</f>
        <v>68</v>
      </c>
      <c r="G32" s="798">
        <f t="shared" si="9"/>
        <v>66</v>
      </c>
      <c r="H32" s="798">
        <f t="shared" si="9"/>
        <v>66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 t="s">
        <v>1950</v>
      </c>
      <c r="D33" s="55" t="s">
        <v>1951</v>
      </c>
      <c r="E33" s="799">
        <v>65</v>
      </c>
      <c r="F33" s="799">
        <v>68</v>
      </c>
      <c r="G33" s="799">
        <v>66</v>
      </c>
      <c r="H33" s="799">
        <v>66</v>
      </c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7"/>
      <c r="D34" s="797"/>
      <c r="E34" s="798">
        <f>E35</f>
        <v>0</v>
      </c>
      <c r="F34" s="798">
        <f t="shared" ref="F34:H34" si="10">F35</f>
        <v>0</v>
      </c>
      <c r="G34" s="798">
        <f t="shared" si="10"/>
        <v>0</v>
      </c>
      <c r="H34" s="798">
        <f t="shared" si="10"/>
        <v>0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/>
      <c r="D35" s="55"/>
      <c r="E35" s="799"/>
      <c r="F35" s="799"/>
      <c r="G35" s="799"/>
      <c r="H35" s="799"/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7"/>
      <c r="D36" s="797"/>
      <c r="E36" s="798">
        <f>E37</f>
        <v>0</v>
      </c>
      <c r="F36" s="798">
        <f t="shared" ref="F36:H36" si="11">F37</f>
        <v>0</v>
      </c>
      <c r="G36" s="798">
        <f t="shared" si="11"/>
        <v>0</v>
      </c>
      <c r="H36" s="798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799"/>
      <c r="F37" s="799"/>
      <c r="G37" s="799"/>
      <c r="H37" s="799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7"/>
      <c r="D38" s="797"/>
      <c r="E38" s="798">
        <f>E39</f>
        <v>0</v>
      </c>
      <c r="F38" s="798">
        <f t="shared" ref="F38:H38" si="12">F39</f>
        <v>0</v>
      </c>
      <c r="G38" s="798">
        <f t="shared" si="12"/>
        <v>0</v>
      </c>
      <c r="H38" s="798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799"/>
      <c r="F39" s="799"/>
      <c r="G39" s="799"/>
      <c r="H39" s="799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7"/>
      <c r="D40" s="797"/>
      <c r="E40" s="798">
        <f>E41</f>
        <v>0</v>
      </c>
      <c r="F40" s="798">
        <f t="shared" ref="F40:H40" si="13">F41</f>
        <v>0</v>
      </c>
      <c r="G40" s="798">
        <f t="shared" si="13"/>
        <v>0</v>
      </c>
      <c r="H40" s="798">
        <f t="shared" si="13"/>
        <v>0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/>
      <c r="D41" s="55"/>
      <c r="E41" s="799"/>
      <c r="F41" s="799"/>
      <c r="G41" s="799"/>
      <c r="H41" s="799"/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7"/>
      <c r="D42" s="797"/>
      <c r="E42" s="798">
        <f>E43+E44</f>
        <v>107</v>
      </c>
      <c r="F42" s="798">
        <f t="shared" ref="F42:H42" si="14">F43+F44</f>
        <v>100</v>
      </c>
      <c r="G42" s="798">
        <f t="shared" si="14"/>
        <v>106</v>
      </c>
      <c r="H42" s="798">
        <f t="shared" si="14"/>
        <v>105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799"/>
      <c r="F43" s="799"/>
      <c r="G43" s="799"/>
      <c r="H43" s="799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 t="s">
        <v>1964</v>
      </c>
      <c r="D44" s="55" t="s">
        <v>1965</v>
      </c>
      <c r="E44" s="799">
        <f>66+41</f>
        <v>107</v>
      </c>
      <c r="F44" s="799">
        <f>107-7</f>
        <v>100</v>
      </c>
      <c r="G44" s="799">
        <v>106</v>
      </c>
      <c r="H44" s="799">
        <v>105</v>
      </c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7"/>
      <c r="D45" s="797"/>
      <c r="E45" s="798"/>
      <c r="F45" s="798"/>
      <c r="G45" s="798"/>
      <c r="H45" s="798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/>
      <c r="D46" s="55"/>
      <c r="E46" s="799"/>
      <c r="F46" s="799"/>
      <c r="G46" s="799"/>
      <c r="H46" s="799"/>
    </row>
    <row r="47" spans="1:8" x14ac:dyDescent="0.2">
      <c r="A47" s="234" t="str">
        <f>'(G1) Fjalori'!A80</f>
        <v>Nënfunksioni 17</v>
      </c>
      <c r="B47" s="234" t="str">
        <f>'(G1) Fjalori'!A51</f>
        <v xml:space="preserve">                               </v>
      </c>
      <c r="C47" s="797"/>
      <c r="D47" s="797"/>
      <c r="E47" s="798">
        <f>E48</f>
        <v>6</v>
      </c>
      <c r="F47" s="798">
        <f t="shared" ref="F47:H47" si="15">F48</f>
        <v>6</v>
      </c>
      <c r="G47" s="798">
        <f t="shared" si="15"/>
        <v>6</v>
      </c>
      <c r="H47" s="798">
        <f t="shared" si="15"/>
        <v>6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 t="s">
        <v>1962</v>
      </c>
      <c r="D48" s="55" t="s">
        <v>1963</v>
      </c>
      <c r="E48" s="799">
        <v>6</v>
      </c>
      <c r="F48" s="799">
        <v>6</v>
      </c>
      <c r="G48" s="799">
        <v>6</v>
      </c>
      <c r="H48" s="799">
        <v>6</v>
      </c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7"/>
      <c r="D49" s="797"/>
      <c r="E49" s="798">
        <f>E50</f>
        <v>20</v>
      </c>
      <c r="F49" s="798">
        <f t="shared" ref="F49:H49" si="16">F50</f>
        <v>20</v>
      </c>
      <c r="G49" s="798">
        <f t="shared" si="16"/>
        <v>20</v>
      </c>
      <c r="H49" s="798">
        <f t="shared" si="16"/>
        <v>20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 t="s">
        <v>1960</v>
      </c>
      <c r="D50" s="55" t="s">
        <v>1961</v>
      </c>
      <c r="E50" s="799">
        <v>20</v>
      </c>
      <c r="F50" s="799">
        <v>20</v>
      </c>
      <c r="G50" s="799">
        <v>20</v>
      </c>
      <c r="H50" s="799">
        <v>20</v>
      </c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7"/>
      <c r="D51" s="797"/>
      <c r="E51" s="798">
        <f>E52</f>
        <v>31</v>
      </c>
      <c r="F51" s="798">
        <f t="shared" ref="F51:H51" si="17">F52</f>
        <v>31</v>
      </c>
      <c r="G51" s="798">
        <f t="shared" si="17"/>
        <v>31</v>
      </c>
      <c r="H51" s="798">
        <f t="shared" si="17"/>
        <v>31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 t="s">
        <v>1958</v>
      </c>
      <c r="D52" s="55" t="s">
        <v>1959</v>
      </c>
      <c r="E52" s="799">
        <v>31</v>
      </c>
      <c r="F52" s="799">
        <v>31</v>
      </c>
      <c r="G52" s="799">
        <v>31</v>
      </c>
      <c r="H52" s="799">
        <v>31</v>
      </c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7"/>
      <c r="D53" s="797"/>
      <c r="E53" s="798">
        <f>E54</f>
        <v>24</v>
      </c>
      <c r="F53" s="798">
        <f t="shared" ref="F53:H53" si="18">F54</f>
        <v>24</v>
      </c>
      <c r="G53" s="798">
        <f t="shared" si="18"/>
        <v>24</v>
      </c>
      <c r="H53" s="798">
        <f t="shared" si="18"/>
        <v>24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 t="s">
        <v>1956</v>
      </c>
      <c r="D54" s="55" t="s">
        <v>1957</v>
      </c>
      <c r="E54" s="799">
        <v>24</v>
      </c>
      <c r="F54" s="799">
        <v>24</v>
      </c>
      <c r="G54" s="799">
        <v>24</v>
      </c>
      <c r="H54" s="799">
        <v>24</v>
      </c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7"/>
      <c r="D55" s="797"/>
      <c r="E55" s="798">
        <f>E56</f>
        <v>213</v>
      </c>
      <c r="F55" s="798">
        <f t="shared" ref="F55:H55" si="19">F56</f>
        <v>213</v>
      </c>
      <c r="G55" s="798">
        <f t="shared" si="19"/>
        <v>213</v>
      </c>
      <c r="H55" s="798">
        <f t="shared" si="19"/>
        <v>213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 t="s">
        <v>1955</v>
      </c>
      <c r="D56" s="55" t="s">
        <v>1954</v>
      </c>
      <c r="E56" s="799">
        <v>213</v>
      </c>
      <c r="F56" s="799">
        <v>213</v>
      </c>
      <c r="G56" s="799">
        <v>213</v>
      </c>
      <c r="H56" s="799">
        <v>213</v>
      </c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7"/>
      <c r="D57" s="797"/>
      <c r="E57" s="798">
        <f>E58+E59</f>
        <v>37</v>
      </c>
      <c r="F57" s="798">
        <f t="shared" ref="F57:H57" si="20">F58+F59</f>
        <v>37</v>
      </c>
      <c r="G57" s="798">
        <f t="shared" si="20"/>
        <v>37</v>
      </c>
      <c r="H57" s="798">
        <f t="shared" si="20"/>
        <v>37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/>
      <c r="D58" s="55"/>
      <c r="E58" s="799">
        <v>9</v>
      </c>
      <c r="F58" s="799">
        <v>9</v>
      </c>
      <c r="G58" s="799">
        <v>9</v>
      </c>
      <c r="H58" s="799">
        <v>9</v>
      </c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 t="s">
        <v>1966</v>
      </c>
      <c r="D59" s="55" t="s">
        <v>1967</v>
      </c>
      <c r="E59" s="799">
        <v>28</v>
      </c>
      <c r="F59" s="799">
        <v>28</v>
      </c>
      <c r="G59" s="799">
        <v>28</v>
      </c>
      <c r="H59" s="799">
        <v>28</v>
      </c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7"/>
      <c r="D60" s="797"/>
      <c r="E60" s="798">
        <f>E61</f>
        <v>0</v>
      </c>
      <c r="F60" s="798">
        <f t="shared" ref="F60:H60" si="21">F61</f>
        <v>0</v>
      </c>
      <c r="G60" s="798">
        <f t="shared" si="21"/>
        <v>0</v>
      </c>
      <c r="H60" s="798">
        <f t="shared" si="21"/>
        <v>0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/>
      <c r="D61" s="55"/>
      <c r="E61" s="799"/>
      <c r="F61" s="799"/>
      <c r="G61" s="799"/>
      <c r="H61" s="799"/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7"/>
      <c r="D62" s="797"/>
      <c r="E62" s="798">
        <f>E63</f>
        <v>0</v>
      </c>
      <c r="F62" s="798">
        <f t="shared" ref="F62:H62" si="22">F63</f>
        <v>0</v>
      </c>
      <c r="G62" s="798">
        <f t="shared" si="22"/>
        <v>0</v>
      </c>
      <c r="H62" s="798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/>
      <c r="D63" s="55"/>
      <c r="E63" s="799"/>
      <c r="F63" s="799"/>
      <c r="G63" s="799"/>
      <c r="H63" s="799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7"/>
      <c r="D64" s="797"/>
      <c r="E64" s="798">
        <f>E65</f>
        <v>0</v>
      </c>
      <c r="F64" s="798">
        <f t="shared" ref="F64:H64" si="23">F65</f>
        <v>0</v>
      </c>
      <c r="G64" s="798">
        <f t="shared" si="23"/>
        <v>0</v>
      </c>
      <c r="H64" s="798">
        <f t="shared" si="23"/>
        <v>0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/>
      <c r="D65" s="55"/>
      <c r="E65" s="799"/>
      <c r="F65" s="799"/>
      <c r="G65" s="799"/>
      <c r="H65" s="799"/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7"/>
      <c r="D66" s="797"/>
      <c r="E66" s="800">
        <f>E67</f>
        <v>0</v>
      </c>
      <c r="F66" s="800">
        <f t="shared" ref="F66:H66" si="24">F67</f>
        <v>0</v>
      </c>
      <c r="G66" s="800">
        <f t="shared" si="24"/>
        <v>0</v>
      </c>
      <c r="H66" s="800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799"/>
      <c r="F67" s="799"/>
      <c r="G67" s="799"/>
      <c r="H67" s="799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7"/>
      <c r="D68" s="797"/>
      <c r="E68" s="798">
        <f>E70</f>
        <v>25</v>
      </c>
      <c r="F68" s="798">
        <f t="shared" ref="F68:H68" si="25">F70</f>
        <v>25</v>
      </c>
      <c r="G68" s="798">
        <f t="shared" si="25"/>
        <v>25</v>
      </c>
      <c r="H68" s="798">
        <f t="shared" si="25"/>
        <v>25</v>
      </c>
    </row>
    <row r="69" spans="1:8" s="97" customFormat="1" hidden="1" x14ac:dyDescent="0.2">
      <c r="A69" s="770" t="str">
        <f>'(G1) Fjalori'!A92</f>
        <v>Nënfunksioni 29</v>
      </c>
      <c r="B69" s="771" t="str">
        <f>'(G1) Fjalori'!A63</f>
        <v>107 Ndihma Ekonomike</v>
      </c>
      <c r="C69" s="55"/>
      <c r="D69" s="55"/>
      <c r="E69" s="799"/>
      <c r="F69" s="799"/>
      <c r="G69" s="799"/>
      <c r="H69" s="799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 t="s">
        <v>1952</v>
      </c>
      <c r="D70" s="55" t="s">
        <v>1953</v>
      </c>
      <c r="E70" s="799">
        <v>25</v>
      </c>
      <c r="F70" s="799">
        <v>25</v>
      </c>
      <c r="G70" s="799">
        <v>25</v>
      </c>
      <c r="H70" s="799">
        <v>25</v>
      </c>
    </row>
    <row r="71" spans="1:8" x14ac:dyDescent="0.2">
      <c r="B71" s="3"/>
      <c r="E71" s="801">
        <f>E7+E11+E13+E15+E17+E19+E22+E26+E29+E32+E34+E36+E38+E40+E42+E45+E47+E49+E51+E53+E55+E57+E60+E62+E64+E66+E68</f>
        <v>833</v>
      </c>
      <c r="F71" s="801">
        <f t="shared" ref="F71:H71" si="26">F7+F11+F13+F15+F17+F19+F22+F26+F29+F32+F34+F36+F38+F40+F42+F45+F47+F49+F51+F53+F55+F57+F60+F62+F64+F66+F68</f>
        <v>834</v>
      </c>
      <c r="G71" s="801">
        <f t="shared" si="26"/>
        <v>834</v>
      </c>
      <c r="H71" s="801">
        <f t="shared" si="26"/>
        <v>832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3698c4lHaASO1vp+EuR3B5uw4ssugPpq5k5gZpw6cuCCViEKJ+FuxolPNmwrT5WshBQmCAB87DqAGLo9GJuf3g==" saltValue="wARJCuLzltG3B4ulYrDJuA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63" zoomScaleNormal="100" workbookViewId="0">
      <selection activeCell="F131" sqref="F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Fjalori'!A78</f>
        <v>Nënfunksioni 15</v>
      </c>
      <c r="B2" s="860" t="str">
        <f>+VLOOKUP($A2,'(B2) Struktura Organizative'!$A7:$E68,2,FALSE)</f>
        <v>062 Zhvillimi i komunitetit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Funksionale'!A81</f>
        <v>Programi 15a</v>
      </c>
      <c r="B6" s="940"/>
      <c r="C6" s="941" t="str">
        <f>VLOOKUP($A6,'(B3) Struktura Funksionale'!$A$7:$E$146,3,FALSE)</f>
        <v>Programet e zhvillimit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Funksionale'!A82</f>
        <v>Programi 15b</v>
      </c>
      <c r="B7" s="940"/>
      <c r="C7" s="941" t="str">
        <f>VLOOKUP($A7,'(B3) Struktura Funksionale'!$A$7:$E$146,3,FALSE)</f>
        <v>Sherbime publike vendore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Funksionale'!A83</f>
        <v>Programi 15c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15</v>
      </c>
      <c r="B14" s="962" t="str">
        <f>B$2</f>
        <v>062 Zhvillimi i komunitetit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151291</v>
      </c>
      <c r="C18" s="34">
        <f t="shared" si="1"/>
        <v>151291</v>
      </c>
      <c r="D18" s="34">
        <f t="shared" si="1"/>
        <v>151291</v>
      </c>
      <c r="E18" s="129">
        <f t="shared" si="1"/>
        <v>165101</v>
      </c>
      <c r="F18" s="129">
        <f t="shared" si="1"/>
        <v>165101</v>
      </c>
      <c r="G18" s="129">
        <f t="shared" si="1"/>
        <v>171101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36122</v>
      </c>
      <c r="K19" s="35">
        <f t="shared" si="2"/>
        <v>36122</v>
      </c>
      <c r="L19" s="34">
        <f t="shared" si="2"/>
        <v>36122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21818</v>
      </c>
      <c r="F29" s="305">
        <f t="shared" si="3"/>
        <v>21818</v>
      </c>
      <c r="G29" s="305">
        <f t="shared" si="3"/>
        <v>25818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36122</v>
      </c>
      <c r="K29" s="34">
        <f t="shared" si="5"/>
        <v>36122</v>
      </c>
      <c r="L29" s="34">
        <f t="shared" si="5"/>
        <v>36122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21818</v>
      </c>
      <c r="F33" s="129">
        <f t="shared" si="3"/>
        <v>21818</v>
      </c>
      <c r="G33" s="129">
        <f t="shared" si="3"/>
        <v>25818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115169</v>
      </c>
      <c r="K34" s="18">
        <f t="shared" si="6"/>
        <v>115169</v>
      </c>
      <c r="L34" s="18">
        <f t="shared" si="6"/>
        <v>115169</v>
      </c>
      <c r="M34" s="18">
        <f t="shared" si="6"/>
        <v>165101</v>
      </c>
      <c r="N34" s="18">
        <f t="shared" si="6"/>
        <v>165101</v>
      </c>
      <c r="O34" s="18">
        <f t="shared" si="6"/>
        <v>171101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66221</v>
      </c>
      <c r="F35" s="305">
        <f t="shared" si="7"/>
        <v>66221</v>
      </c>
      <c r="G35" s="305">
        <f t="shared" si="7"/>
        <v>67721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11059</v>
      </c>
      <c r="F36" s="305">
        <f t="shared" si="7"/>
        <v>11059</v>
      </c>
      <c r="G36" s="305">
        <f t="shared" si="7"/>
        <v>11559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66003</v>
      </c>
      <c r="F37" s="305">
        <f t="shared" si="7"/>
        <v>66003</v>
      </c>
      <c r="G37" s="305">
        <f t="shared" si="7"/>
        <v>66003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143283</v>
      </c>
      <c r="F46" s="129">
        <f t="shared" si="7"/>
        <v>143283</v>
      </c>
      <c r="G46" s="129">
        <f t="shared" si="7"/>
        <v>145283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151291</v>
      </c>
      <c r="C48" s="34">
        <f t="shared" si="11"/>
        <v>151291</v>
      </c>
      <c r="D48" s="34">
        <f t="shared" si="11"/>
        <v>151291</v>
      </c>
      <c r="E48" s="129">
        <f t="shared" si="11"/>
        <v>165101</v>
      </c>
      <c r="F48" s="129">
        <f t="shared" si="11"/>
        <v>165101</v>
      </c>
      <c r="G48" s="129">
        <f t="shared" si="11"/>
        <v>171101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165101</v>
      </c>
      <c r="N52" s="138">
        <f>VLOOKUP($A14,'(D1) Tavanet buxhetore'!$A$7:$R$473,8,FALSE)</f>
        <v>165101</v>
      </c>
      <c r="O52" s="673">
        <f>VLOOKUP($A14,'(D1) Tavanet buxhetore'!$A$7:$R$473,9,FALSE)</f>
        <v>171101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165101</v>
      </c>
      <c r="N53" s="139">
        <f t="shared" ref="N53:O53" si="13">F18</f>
        <v>165101</v>
      </c>
      <c r="O53" s="674">
        <f t="shared" si="13"/>
        <v>171101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77280</v>
      </c>
      <c r="N55" s="138">
        <f>VLOOKUP($A14,'(D1) Tavanet buxhetore'!$A$7:$R$473,11,FALSE)</f>
        <v>77280</v>
      </c>
      <c r="O55" s="673">
        <f>VLOOKUP($A14,'(D1) Tavanet buxhetore'!$A$7:$R$473,12,FALSE)</f>
        <v>79280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77280</v>
      </c>
      <c r="N56" s="139">
        <f t="shared" ref="N56:O56" si="15">F22+F35+F23+F36</f>
        <v>77280</v>
      </c>
      <c r="O56" s="674">
        <f t="shared" si="15"/>
        <v>79280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66003</v>
      </c>
      <c r="N58" s="138">
        <f>VLOOKUP($A14,'(D1) Tavanet buxhetore'!$A$7:$R$473,14,FALSE)</f>
        <v>66003</v>
      </c>
      <c r="O58" s="673">
        <f>VLOOKUP($A14,'(D1) Tavanet buxhetore'!$A$7:$R$473,15,FALSE)</f>
        <v>66003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66003</v>
      </c>
      <c r="N59" s="139">
        <f>N53-N56-N62</f>
        <v>66003</v>
      </c>
      <c r="O59" s="674">
        <f>O53-O56-O62</f>
        <v>66003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21818</v>
      </c>
      <c r="N61" s="138">
        <f>VLOOKUP($A14,'(D1) Tavanet buxhetore'!$A$7:$R$473,17,FALSE)</f>
        <v>21818</v>
      </c>
      <c r="O61" s="673">
        <f>VLOOKUP($A14,'(D1) Tavanet buxhetore'!$A$7:$R$473,18,FALSE)</f>
        <v>25818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21818</v>
      </c>
      <c r="N62" s="139">
        <f t="shared" ref="N62:O62" si="18">F29+F42</f>
        <v>21818</v>
      </c>
      <c r="O62" s="674">
        <f t="shared" si="18"/>
        <v>25818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62" t="str">
        <f t="shared" si="20"/>
        <v>062 Zhvillimi i komunitetit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15a</v>
      </c>
      <c r="B67" s="962" t="str">
        <f>C6</f>
        <v>Programet e zhvillimit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1038" t="str">
        <f>'(B3) Struktura Funksionale'!B81</f>
        <v>06210</v>
      </c>
      <c r="B68" s="1039"/>
      <c r="C68" s="1039"/>
      <c r="D68" s="1039"/>
      <c r="E68" s="1039"/>
      <c r="F68" s="1039"/>
      <c r="G68" s="103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15</v>
      </c>
      <c r="B105" s="962" t="str">
        <f t="shared" si="36"/>
        <v>062 Zhvillimi i komunitetit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15b</v>
      </c>
      <c r="B106" s="962" t="str">
        <f>C7</f>
        <v>Sherbime publike vendore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1038" t="str">
        <f>'(B3) Struktura Funksionale'!B82</f>
        <v>06260</v>
      </c>
      <c r="B107" s="1039"/>
      <c r="C107" s="1039"/>
      <c r="D107" s="1039"/>
      <c r="E107" s="1039"/>
      <c r="F107" s="1039"/>
      <c r="G107" s="103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151291</v>
      </c>
      <c r="C111" s="34">
        <f>VLOOKUP(A106,'(C1) Shpenzimet vitet e kaluara'!A$9:O$177,9,FALSE)</f>
        <v>151291</v>
      </c>
      <c r="D111" s="34">
        <f>VLOOKUP(A106,'(C1) Shpenzimet vitet e kaluara'!A$9:O$177,13,FALSE)</f>
        <v>151291</v>
      </c>
      <c r="E111" s="37">
        <v>165101</v>
      </c>
      <c r="F111" s="37">
        <v>165101</v>
      </c>
      <c r="G111" s="37">
        <v>171101</v>
      </c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36122</v>
      </c>
      <c r="K112" s="35">
        <f>VLOOKUP($A106,'(C1) Shpenzimet vitet e kaluara'!$A$9:$O$177,10,FALSE)</f>
        <v>36122</v>
      </c>
      <c r="L112" s="35">
        <f>VLOOKUP($A106,'(C1) Shpenzimet vitet e kaluara'!$A$9:$O$177,14,FALSE)</f>
        <v>36122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36122</v>
      </c>
      <c r="K121" s="34">
        <f>K112+K119</f>
        <v>36122</v>
      </c>
      <c r="L121" s="34">
        <f>L112+L119</f>
        <v>36122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>
        <v>21818</v>
      </c>
      <c r="F122" s="37">
        <v>21818</v>
      </c>
      <c r="G122" s="37">
        <v>25818</v>
      </c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21818</v>
      </c>
      <c r="F126" s="129">
        <f t="shared" ref="F126:G126" si="47">SUM(F115:F125)</f>
        <v>21818</v>
      </c>
      <c r="G126" s="129">
        <f t="shared" si="47"/>
        <v>25818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115169</v>
      </c>
      <c r="K127" s="18">
        <f t="shared" si="48"/>
        <v>115169</v>
      </c>
      <c r="L127" s="18">
        <f t="shared" si="48"/>
        <v>115169</v>
      </c>
      <c r="M127" s="18">
        <f t="shared" si="48"/>
        <v>165101</v>
      </c>
      <c r="N127" s="18">
        <f t="shared" si="48"/>
        <v>165101</v>
      </c>
      <c r="O127" s="18">
        <f t="shared" si="48"/>
        <v>171101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>
        <v>66221</v>
      </c>
      <c r="F128" s="37">
        <v>66221</v>
      </c>
      <c r="G128" s="37">
        <f>66221+1500</f>
        <v>67721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>
        <v>11059</v>
      </c>
      <c r="F129" s="37">
        <v>11059</v>
      </c>
      <c r="G129" s="37">
        <f>11059+500</f>
        <v>11559</v>
      </c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>
        <v>66003</v>
      </c>
      <c r="F130" s="37">
        <v>66003</v>
      </c>
      <c r="G130" s="37">
        <v>66003</v>
      </c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143283</v>
      </c>
      <c r="F139" s="129">
        <f t="shared" ref="F139:G139" si="50">SUM(F128:F138)</f>
        <v>143283</v>
      </c>
      <c r="G139" s="129">
        <f t="shared" si="50"/>
        <v>145283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151291</v>
      </c>
      <c r="C141" s="34">
        <f t="shared" ref="C141:D141" si="51">C111</f>
        <v>151291</v>
      </c>
      <c r="D141" s="34">
        <f t="shared" si="51"/>
        <v>151291</v>
      </c>
      <c r="E141" s="129">
        <f>E126+E139</f>
        <v>165101</v>
      </c>
      <c r="F141" s="129">
        <f>F126+F139</f>
        <v>165101</v>
      </c>
      <c r="G141" s="129">
        <f t="shared" ref="G141" si="52">G126+G139</f>
        <v>171101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15</v>
      </c>
      <c r="B144" s="962" t="str">
        <f t="shared" si="53"/>
        <v>062 Zhvillimi i komunitetit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15c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Funksionale'!B83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b/QQPPe05Ke56NCkijagDItIUhTo/8GeF0SVN4XWEsZSgSyJ8q2yrlKQ46tmTiVW4eVNQxU/rJ7RjQijUZPwFQ==" saltValue="z6nF/vCz0uBXaw76yk6+jw==" spinCount="100000"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105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Fjalori'!A79</f>
        <v>Nënfunksioni 16</v>
      </c>
      <c r="B2" s="860" t="str">
        <f>+VLOOKUP($A2,'(B2) Struktura Organizative'!$A7:$E68,2,FALSE)</f>
        <v>063 Furnizimi me ujë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Funksionale'!A85</f>
        <v>Programi 16a</v>
      </c>
      <c r="B6" s="940"/>
      <c r="C6" s="941" t="str">
        <f>VLOOKUP($A6,'(B3) Struktura Funksionale'!$A$7:$E$146,3,FALSE)</f>
        <v xml:space="preserve">Furnizimi me ujë 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Funksionale'!A86</f>
        <v>Programi 16b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Funksionale'!A87</f>
        <v>Programi 16c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16</v>
      </c>
      <c r="B14" s="962" t="str">
        <f>B$2</f>
        <v>063 Furnizimi me ujë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62" t="str">
        <f t="shared" si="20"/>
        <v>063 Furnizimi me ujë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16a</v>
      </c>
      <c r="B67" s="962" t="str">
        <f>C6</f>
        <v xml:space="preserve">Furnizimi me ujë 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1038" t="str">
        <f>'(B3) Struktura Funksionale'!B85</f>
        <v>06330</v>
      </c>
      <c r="B68" s="1039"/>
      <c r="C68" s="1039"/>
      <c r="D68" s="1039"/>
      <c r="E68" s="1039"/>
      <c r="F68" s="1039"/>
      <c r="G68" s="103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customHeight="1" x14ac:dyDescent="0.2">
      <c r="A75" s="963" t="str">
        <f t="shared" si="25"/>
        <v>KOSTO DIREKTE PËR PROJEKTET DHE SHPENZIMET KAPITALE</v>
      </c>
      <c r="B75" s="964"/>
      <c r="C75" s="964"/>
      <c r="D75" s="964"/>
      <c r="E75" s="964"/>
      <c r="F75" s="964"/>
      <c r="G75" s="965"/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16</v>
      </c>
      <c r="B105" s="962" t="str">
        <f t="shared" si="36"/>
        <v>063 Furnizimi me ujë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16b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Funksionale'!B86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>A75</f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16</v>
      </c>
      <c r="B144" s="962" t="str">
        <f t="shared" si="53"/>
        <v>063 Furnizimi me ujë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16c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Funksionale'!B87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0pB+LHedCBW4YJunZRm0aIMutmfmzkxBgPeTK2agUA+V514lc4VEjST9fB48on+5EyIMBUl8IBBGgw2XkGPGLQ==" saltValue="Z6voFbX6ljRTtacgW2Lz8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abSelected="1" topLeftCell="A162" zoomScaleNormal="100" workbookViewId="0">
      <selection activeCell="F91" sqref="F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Fjalori'!A80</f>
        <v>Nënfunksioni 17</v>
      </c>
      <c r="B2" s="860" t="str">
        <f>+VLOOKUP($A2,'(B2) Struktura Organizative'!$A7:$E68,2,FALSE)</f>
        <v xml:space="preserve">                               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Funksionale'!A89</f>
        <v>Programi 17a</v>
      </c>
      <c r="B6" s="940"/>
      <c r="C6" s="941" t="str">
        <f>VLOOKUP($A6,'(B3) Struktura Funksionale'!$A$7:$E$146,3,FALSE)</f>
        <v>Ndriçim rrugësh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Funksionale'!A90</f>
        <v>Programi 17b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Funksionale'!A91</f>
        <v>Programi 17c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17</v>
      </c>
      <c r="B14" s="962" t="str">
        <f>B$2</f>
        <v xml:space="preserve">                               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11970</v>
      </c>
      <c r="F18" s="129">
        <f t="shared" si="1"/>
        <v>13970</v>
      </c>
      <c r="G18" s="129">
        <f t="shared" si="1"/>
        <v>13170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1200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1200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11970</v>
      </c>
      <c r="N34" s="18">
        <f t="shared" si="6"/>
        <v>13970</v>
      </c>
      <c r="O34" s="18">
        <f t="shared" si="6"/>
        <v>13170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4130</v>
      </c>
      <c r="F35" s="305">
        <f t="shared" si="7"/>
        <v>4130</v>
      </c>
      <c r="G35" s="305">
        <f t="shared" si="7"/>
        <v>4130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690</v>
      </c>
      <c r="F36" s="305">
        <f t="shared" si="7"/>
        <v>690</v>
      </c>
      <c r="G36" s="305">
        <f t="shared" si="7"/>
        <v>690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7150</v>
      </c>
      <c r="F37" s="305">
        <f t="shared" si="7"/>
        <v>9150</v>
      </c>
      <c r="G37" s="305">
        <f t="shared" si="7"/>
        <v>7150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11970</v>
      </c>
      <c r="F46" s="129">
        <f t="shared" si="7"/>
        <v>13970</v>
      </c>
      <c r="G46" s="129">
        <f t="shared" si="7"/>
        <v>11970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11970</v>
      </c>
      <c r="F48" s="129">
        <f t="shared" si="11"/>
        <v>13970</v>
      </c>
      <c r="G48" s="129">
        <f t="shared" si="11"/>
        <v>13170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11970</v>
      </c>
      <c r="N52" s="138">
        <f>VLOOKUP($A14,'(D1) Tavanet buxhetore'!$A$7:$R$473,8,FALSE)</f>
        <v>13970</v>
      </c>
      <c r="O52" s="673">
        <f>VLOOKUP($A14,'(D1) Tavanet buxhetore'!$A$7:$R$473,9,FALSE)</f>
        <v>13170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11970</v>
      </c>
      <c r="N53" s="139">
        <f t="shared" ref="N53:O53" si="13">F18</f>
        <v>13970</v>
      </c>
      <c r="O53" s="674">
        <f t="shared" si="13"/>
        <v>13170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4820</v>
      </c>
      <c r="N55" s="138">
        <f>VLOOKUP($A14,'(D1) Tavanet buxhetore'!$A$7:$R$473,11,FALSE)</f>
        <v>4820</v>
      </c>
      <c r="O55" s="673">
        <f>VLOOKUP($A14,'(D1) Tavanet buxhetore'!$A$7:$R$473,12,FALSE)</f>
        <v>4820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4820</v>
      </c>
      <c r="N56" s="139">
        <f t="shared" ref="N56:O56" si="15">F22+F35+F23+F36</f>
        <v>4820</v>
      </c>
      <c r="O56" s="674">
        <f t="shared" si="15"/>
        <v>4820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7150</v>
      </c>
      <c r="N58" s="138">
        <f>VLOOKUP($A14,'(D1) Tavanet buxhetore'!$A$7:$R$473,14,FALSE)</f>
        <v>9150</v>
      </c>
      <c r="O58" s="673">
        <f>VLOOKUP($A14,'(D1) Tavanet buxhetore'!$A$7:$R$473,15,FALSE)</f>
        <v>7150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7150</v>
      </c>
      <c r="N59" s="139">
        <f>N53-N56-N62</f>
        <v>9150</v>
      </c>
      <c r="O59" s="674">
        <f>O53-O56-O62</f>
        <v>7150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1200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1200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62" t="str">
        <f t="shared" si="20"/>
        <v xml:space="preserve">                               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17a</v>
      </c>
      <c r="B67" s="962" t="str">
        <f>C6</f>
        <v>Ndriçim rrugësh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1038" t="str">
        <f>'(B3) Struktura Funksionale'!B89</f>
        <v>06440</v>
      </c>
      <c r="B68" s="1039"/>
      <c r="C68" s="1039"/>
      <c r="D68" s="1039"/>
      <c r="E68" s="1039"/>
      <c r="F68" s="1039"/>
      <c r="G68" s="1039"/>
      <c r="H68" s="103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11970</v>
      </c>
      <c r="F72" s="416">
        <v>13970</v>
      </c>
      <c r="G72" s="416">
        <v>13170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>
        <v>1200</v>
      </c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1200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11970</v>
      </c>
      <c r="N88" s="18">
        <f t="shared" si="31"/>
        <v>13970</v>
      </c>
      <c r="O88" s="18">
        <f t="shared" si="31"/>
        <v>13170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4130</v>
      </c>
      <c r="F89" s="37">
        <v>4130</v>
      </c>
      <c r="G89" s="37">
        <v>4130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690</v>
      </c>
      <c r="F90" s="37">
        <v>690</v>
      </c>
      <c r="G90" s="37">
        <v>690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7150</v>
      </c>
      <c r="F91" s="37">
        <v>9150</v>
      </c>
      <c r="G91" s="37">
        <v>7150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11970</v>
      </c>
      <c r="F100" s="129">
        <f t="shared" ref="F100:G100" si="33">SUM(F89:F99)</f>
        <v>13970</v>
      </c>
      <c r="G100" s="129">
        <f t="shared" si="33"/>
        <v>11970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11970</v>
      </c>
      <c r="F102" s="129">
        <f>F87+F100</f>
        <v>13970</v>
      </c>
      <c r="G102" s="129">
        <f t="shared" ref="G102" si="35">G87+G100</f>
        <v>13170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17</v>
      </c>
      <c r="B105" s="962" t="str">
        <f t="shared" si="36"/>
        <v xml:space="preserve">                               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17b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Funksionale'!B90</f>
        <v>0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8" t="str">
        <f t="shared" ref="A108:G108" si="37">A69</f>
        <v>SHPENZIME TË PRITSHME</v>
      </c>
      <c r="B108" s="959">
        <f t="shared" si="37"/>
        <v>0</v>
      </c>
      <c r="C108" s="959">
        <f t="shared" si="37"/>
        <v>0</v>
      </c>
      <c r="D108" s="959">
        <f t="shared" si="37"/>
        <v>0</v>
      </c>
      <c r="E108" s="959">
        <f t="shared" si="37"/>
        <v>0</v>
      </c>
      <c r="F108" s="959">
        <f t="shared" si="37"/>
        <v>0</v>
      </c>
      <c r="G108" s="979">
        <f t="shared" si="37"/>
        <v>0</v>
      </c>
      <c r="H108" s="131"/>
      <c r="I108" s="980" t="str">
        <f t="shared" ref="I108:O108" si="38">I69</f>
        <v xml:space="preserve">TË ARDHURAT E PRITSHME </v>
      </c>
      <c r="J108" s="959">
        <f t="shared" si="38"/>
        <v>0</v>
      </c>
      <c r="K108" s="959">
        <f t="shared" si="38"/>
        <v>0</v>
      </c>
      <c r="L108" s="959">
        <f t="shared" si="38"/>
        <v>0</v>
      </c>
      <c r="M108" s="959">
        <f t="shared" si="38"/>
        <v>0</v>
      </c>
      <c r="N108" s="959">
        <f t="shared" si="38"/>
        <v>0</v>
      </c>
      <c r="O108" s="979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17</v>
      </c>
      <c r="B144" s="962" t="str">
        <f t="shared" si="53"/>
        <v xml:space="preserve">                               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17c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Funksionale'!B91</f>
        <v>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8" t="str">
        <f t="shared" ref="A147:G147" si="54">A69</f>
        <v>SHPENZIME TË PRITSHME</v>
      </c>
      <c r="B147" s="959">
        <f t="shared" si="54"/>
        <v>0</v>
      </c>
      <c r="C147" s="959">
        <f t="shared" si="54"/>
        <v>0</v>
      </c>
      <c r="D147" s="959">
        <f t="shared" si="54"/>
        <v>0</v>
      </c>
      <c r="E147" s="959">
        <f t="shared" si="54"/>
        <v>0</v>
      </c>
      <c r="F147" s="959">
        <f t="shared" si="54"/>
        <v>0</v>
      </c>
      <c r="G147" s="979">
        <f t="shared" si="54"/>
        <v>0</v>
      </c>
      <c r="H147" s="131"/>
      <c r="I147" s="980" t="str">
        <f t="shared" ref="I147:O147" si="55">I69</f>
        <v xml:space="preserve">TË ARDHURAT E PRITSHME </v>
      </c>
      <c r="J147" s="959">
        <f t="shared" si="55"/>
        <v>0</v>
      </c>
      <c r="K147" s="959">
        <f t="shared" si="55"/>
        <v>0</v>
      </c>
      <c r="L147" s="959">
        <f t="shared" si="55"/>
        <v>0</v>
      </c>
      <c r="M147" s="959">
        <f t="shared" si="55"/>
        <v>0</v>
      </c>
      <c r="N147" s="959">
        <f t="shared" si="55"/>
        <v>0</v>
      </c>
      <c r="O147" s="979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UwwqeUH8x8MxnsbLavFhFu6jkDoEgtC9vo2VD6PiDFZpU9WOzODjOEzHPkMu/tu46u+36z6gTUmg5+ZYcM5pHA==" saltValue="QNqikIC+LP95wDFLmYcho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153" zoomScaleNormal="100" workbookViewId="0">
      <selection activeCell="E72" sqref="E72:G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Fjalori'!A81</f>
        <v>Nënfunksioni 18</v>
      </c>
      <c r="B2" s="860" t="str">
        <f>+VLOOKUP($A2,'(B2) Struktura Organizative'!$A7:$E68,2,FALSE)</f>
        <v xml:space="preserve">072 Shërbimet e kujdesit parësor 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Funksionale'!A94</f>
        <v>Programi 18a</v>
      </c>
      <c r="B6" s="940"/>
      <c r="C6" s="941" t="str">
        <f>VLOOKUP($A6,'(B3) Struktura Funksionale'!$A$7:$E$146,3,FALSE)</f>
        <v>Shërbimet e kujdesit parësor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Funksionale'!A95</f>
        <v>Programi 18b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Funksionale'!A96</f>
        <v>Programi 18c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18</v>
      </c>
      <c r="B14" s="962" t="str">
        <f>B$2</f>
        <v xml:space="preserve">072 Shërbimet e kujdesit parësor 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24530</v>
      </c>
      <c r="F18" s="129">
        <f t="shared" si="1"/>
        <v>24530</v>
      </c>
      <c r="G18" s="129">
        <f t="shared" si="1"/>
        <v>24530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24530</v>
      </c>
      <c r="N34" s="18">
        <f t="shared" si="6"/>
        <v>24530</v>
      </c>
      <c r="O34" s="18">
        <f t="shared" si="6"/>
        <v>24530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11979</v>
      </c>
      <c r="F35" s="305">
        <f t="shared" si="7"/>
        <v>11979</v>
      </c>
      <c r="G35" s="305">
        <f t="shared" si="7"/>
        <v>11979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2001</v>
      </c>
      <c r="F36" s="305">
        <f t="shared" si="7"/>
        <v>2001</v>
      </c>
      <c r="G36" s="305">
        <f t="shared" si="7"/>
        <v>2001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10550</v>
      </c>
      <c r="F37" s="305">
        <f t="shared" si="7"/>
        <v>10550</v>
      </c>
      <c r="G37" s="305">
        <f t="shared" si="7"/>
        <v>10550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24530</v>
      </c>
      <c r="F46" s="129">
        <f t="shared" si="7"/>
        <v>24530</v>
      </c>
      <c r="G46" s="129">
        <f t="shared" si="7"/>
        <v>24530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24530</v>
      </c>
      <c r="F48" s="129">
        <f t="shared" si="11"/>
        <v>24530</v>
      </c>
      <c r="G48" s="129">
        <f t="shared" si="11"/>
        <v>24530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24530</v>
      </c>
      <c r="N52" s="138">
        <f>VLOOKUP($A14,'(D1) Tavanet buxhetore'!$A$7:$R$473,8,FALSE)</f>
        <v>24530</v>
      </c>
      <c r="O52" s="673">
        <f>VLOOKUP($A14,'(D1) Tavanet buxhetore'!$A$7:$R$473,9,FALSE)</f>
        <v>24530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24530</v>
      </c>
      <c r="N53" s="139">
        <f t="shared" ref="N53:O53" si="13">F18</f>
        <v>24530</v>
      </c>
      <c r="O53" s="674">
        <f t="shared" si="13"/>
        <v>24530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13980</v>
      </c>
      <c r="N55" s="138">
        <f>VLOOKUP($A14,'(D1) Tavanet buxhetore'!$A$7:$R$473,11,FALSE)</f>
        <v>13980</v>
      </c>
      <c r="O55" s="673">
        <f>VLOOKUP($A14,'(D1) Tavanet buxhetore'!$A$7:$R$473,12,FALSE)</f>
        <v>13980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13980</v>
      </c>
      <c r="N56" s="139">
        <f t="shared" ref="N56:O56" si="15">F22+F35+F23+F36</f>
        <v>13980</v>
      </c>
      <c r="O56" s="674">
        <f t="shared" si="15"/>
        <v>13980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10550</v>
      </c>
      <c r="N58" s="138">
        <f>VLOOKUP($A14,'(D1) Tavanet buxhetore'!$A$7:$R$473,14,FALSE)</f>
        <v>10550</v>
      </c>
      <c r="O58" s="673">
        <f>VLOOKUP($A14,'(D1) Tavanet buxhetore'!$A$7:$R$473,15,FALSE)</f>
        <v>10550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10550</v>
      </c>
      <c r="N59" s="139">
        <f>N53-N56-N62</f>
        <v>10550</v>
      </c>
      <c r="O59" s="674">
        <f>O53-O56-O62</f>
        <v>10550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62" t="str">
        <f t="shared" si="20"/>
        <v xml:space="preserve">072 Shërbimet e kujdesit parësor 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18a</v>
      </c>
      <c r="B67" s="962" t="str">
        <f>C6</f>
        <v>Shërbimet e kujdesit parësor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Funksionale'!B94</f>
        <v>07220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>
        <v>24530</v>
      </c>
      <c r="F72" s="416">
        <v>24530</v>
      </c>
      <c r="G72" s="416">
        <v>24530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24530</v>
      </c>
      <c r="N88" s="18">
        <f t="shared" si="31"/>
        <v>24530</v>
      </c>
      <c r="O88" s="18">
        <f t="shared" si="31"/>
        <v>24530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11979</v>
      </c>
      <c r="F89" s="37">
        <v>11979</v>
      </c>
      <c r="G89" s="37">
        <v>11979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2001</v>
      </c>
      <c r="F90" s="37">
        <v>2001</v>
      </c>
      <c r="G90" s="37">
        <v>2001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10550</v>
      </c>
      <c r="F91" s="37">
        <v>10550</v>
      </c>
      <c r="G91" s="37">
        <v>10550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24530</v>
      </c>
      <c r="F100" s="129">
        <f t="shared" ref="F100:G100" si="33">SUM(F89:F99)</f>
        <v>24530</v>
      </c>
      <c r="G100" s="129">
        <f t="shared" si="33"/>
        <v>24530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24530</v>
      </c>
      <c r="F102" s="129">
        <f>F87+F100</f>
        <v>24530</v>
      </c>
      <c r="G102" s="129">
        <f t="shared" ref="G102" si="35">G87+G100</f>
        <v>24530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18</v>
      </c>
      <c r="B105" s="962" t="str">
        <f t="shared" si="36"/>
        <v xml:space="preserve">072 Shërbimet e kujdesit parësor 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18b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Funksionale'!B95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18</v>
      </c>
      <c r="B144" s="962" t="str">
        <f t="shared" si="53"/>
        <v xml:space="preserve">072 Shërbimet e kujdesit parësor 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18c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Funksionale'!B96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lUq61bxGZknmYyEUgLK9Vel7Ekq9hmTh/KtLzs5Pe9EPaXRgiedCKmHSk+0Cdb25mSnJR9JyqmuyTp90GM2N6g==" saltValue="8EtNdPDV0xIbY7fOLhIKF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zoomScaleNormal="100" workbookViewId="0">
      <selection activeCell="E134" sqref="E13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Fjalori'!A82</f>
        <v>Nënfunksioni 19</v>
      </c>
      <c r="B2" s="860" t="str">
        <f>+VLOOKUP($A2,'(B2) Struktura Organizative'!$A7:$E68,2,FALSE)</f>
        <v>081 Shërbimet rekreative dhe sportive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Funksionale'!A99</f>
        <v>Programi 19a</v>
      </c>
      <c r="B6" s="940"/>
      <c r="C6" s="941" t="str">
        <f>VLOOKUP($A6,'(B3) Struktura Funksionale'!$A$7:$E$146,3,FALSE)</f>
        <v>Parqet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Funksionale'!A100</f>
        <v>Programi 19b</v>
      </c>
      <c r="B7" s="940"/>
      <c r="C7" s="941" t="str">
        <f>VLOOKUP($A7,'(B3) Struktura Funksionale'!$A$7:$E$146,3,FALSE)</f>
        <v>Sport dhe argëtim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Funksionale'!A101</f>
        <v>Programi 19c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19</v>
      </c>
      <c r="B14" s="962" t="str">
        <f>B$2</f>
        <v>081 Shërbimet rekreative dhe sportive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14002</v>
      </c>
      <c r="C18" s="34">
        <f t="shared" si="1"/>
        <v>14002</v>
      </c>
      <c r="D18" s="34">
        <f t="shared" si="1"/>
        <v>14002</v>
      </c>
      <c r="E18" s="129">
        <f t="shared" si="1"/>
        <v>28076</v>
      </c>
      <c r="F18" s="129">
        <f t="shared" si="1"/>
        <v>28076</v>
      </c>
      <c r="G18" s="129">
        <f t="shared" si="1"/>
        <v>28076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8522</v>
      </c>
      <c r="K19" s="35">
        <f t="shared" si="2"/>
        <v>8522</v>
      </c>
      <c r="L19" s="34">
        <f t="shared" si="2"/>
        <v>8522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8522</v>
      </c>
      <c r="K29" s="34">
        <f t="shared" si="5"/>
        <v>8522</v>
      </c>
      <c r="L29" s="34">
        <f t="shared" si="5"/>
        <v>8522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5480</v>
      </c>
      <c r="K34" s="18">
        <f t="shared" si="6"/>
        <v>5480</v>
      </c>
      <c r="L34" s="18">
        <f t="shared" si="6"/>
        <v>5480</v>
      </c>
      <c r="M34" s="18">
        <f t="shared" si="6"/>
        <v>28076</v>
      </c>
      <c r="N34" s="18">
        <f t="shared" si="6"/>
        <v>28076</v>
      </c>
      <c r="O34" s="18">
        <f t="shared" si="6"/>
        <v>28076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8377</v>
      </c>
      <c r="F35" s="305">
        <f t="shared" si="7"/>
        <v>8377</v>
      </c>
      <c r="G35" s="305">
        <f t="shared" si="7"/>
        <v>8377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1399</v>
      </c>
      <c r="F36" s="305">
        <f t="shared" si="7"/>
        <v>1399</v>
      </c>
      <c r="G36" s="305">
        <f t="shared" si="7"/>
        <v>1399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18300</v>
      </c>
      <c r="F37" s="305">
        <f t="shared" si="7"/>
        <v>18300</v>
      </c>
      <c r="G37" s="305">
        <f t="shared" si="7"/>
        <v>18300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28076</v>
      </c>
      <c r="F46" s="129">
        <f t="shared" si="7"/>
        <v>28076</v>
      </c>
      <c r="G46" s="129">
        <f t="shared" si="7"/>
        <v>28076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14002</v>
      </c>
      <c r="C48" s="34">
        <f t="shared" si="11"/>
        <v>14002</v>
      </c>
      <c r="D48" s="34">
        <f t="shared" si="11"/>
        <v>14002</v>
      </c>
      <c r="E48" s="129">
        <f t="shared" si="11"/>
        <v>28076</v>
      </c>
      <c r="F48" s="129">
        <f t="shared" si="11"/>
        <v>28076</v>
      </c>
      <c r="G48" s="129">
        <f t="shared" si="11"/>
        <v>28076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28076</v>
      </c>
      <c r="N52" s="138">
        <f>VLOOKUP($A14,'(D1) Tavanet buxhetore'!$A$7:$R$473,8,FALSE)</f>
        <v>28076</v>
      </c>
      <c r="O52" s="673">
        <f>VLOOKUP($A14,'(D1) Tavanet buxhetore'!$A$7:$R$473,9,FALSE)</f>
        <v>28076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28076</v>
      </c>
      <c r="N53" s="139">
        <f t="shared" ref="N53:O53" si="13">F18</f>
        <v>28076</v>
      </c>
      <c r="O53" s="674">
        <f t="shared" si="13"/>
        <v>28076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9776</v>
      </c>
      <c r="N55" s="138">
        <f>VLOOKUP($A14,'(D1) Tavanet buxhetore'!$A$7:$R$473,11,FALSE)</f>
        <v>9776</v>
      </c>
      <c r="O55" s="673">
        <f>VLOOKUP($A14,'(D1) Tavanet buxhetore'!$A$7:$R$473,12,FALSE)</f>
        <v>9776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9776</v>
      </c>
      <c r="N56" s="139">
        <f t="shared" ref="N56:O56" si="15">F22+F35+F23+F36</f>
        <v>9776</v>
      </c>
      <c r="O56" s="674">
        <f t="shared" si="15"/>
        <v>9776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18300</v>
      </c>
      <c r="N58" s="138">
        <f>VLOOKUP($A14,'(D1) Tavanet buxhetore'!$A$7:$R$473,14,FALSE)</f>
        <v>18300</v>
      </c>
      <c r="O58" s="673">
        <f>VLOOKUP($A14,'(D1) Tavanet buxhetore'!$A$7:$R$473,15,FALSE)</f>
        <v>18300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18300</v>
      </c>
      <c r="N59" s="139">
        <f>N53-N56-N62</f>
        <v>18300</v>
      </c>
      <c r="O59" s="674">
        <f>O53-O56-O62</f>
        <v>18300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62" t="str">
        <f t="shared" si="20"/>
        <v>081 Shërbimet rekreative dhe sportive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hidden="1" customHeight="1" x14ac:dyDescent="0.2">
      <c r="A67" s="276" t="str">
        <f>A6</f>
        <v>Programi 19a</v>
      </c>
      <c r="B67" s="962" t="str">
        <f>C6</f>
        <v>Parqet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hidden="1" customHeight="1" x14ac:dyDescent="0.2">
      <c r="A68" s="647" t="str">
        <f>'(B3) Struktura Funksionale'!B99</f>
        <v>08120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hidden="1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hidden="1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hidden="1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hidden="1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hidden="1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hidden="1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62" t="str">
        <f t="shared" si="36"/>
        <v>081 Shërbimet rekreative dhe sportive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19b</v>
      </c>
      <c r="B106" s="962" t="str">
        <f>C7</f>
        <v>Sport dhe argëtim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 t="str">
        <f>'(B3) Struktura Funksionale'!B100</f>
        <v>08130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14002</v>
      </c>
      <c r="C111" s="34">
        <f>VLOOKUP(A106,'(C1) Shpenzimet vitet e kaluara'!A$9:O$177,9,FALSE)</f>
        <v>14002</v>
      </c>
      <c r="D111" s="34">
        <f>VLOOKUP(A106,'(C1) Shpenzimet vitet e kaluara'!A$9:O$177,13,FALSE)</f>
        <v>14002</v>
      </c>
      <c r="E111" s="37">
        <v>28076</v>
      </c>
      <c r="F111" s="37">
        <v>28076</v>
      </c>
      <c r="G111" s="37">
        <v>28076</v>
      </c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8522</v>
      </c>
      <c r="K112" s="35">
        <f>VLOOKUP($A106,'(C1) Shpenzimet vitet e kaluara'!$A$9:$O$177,10,FALSE)</f>
        <v>8522</v>
      </c>
      <c r="L112" s="35">
        <f>VLOOKUP($A106,'(C1) Shpenzimet vitet e kaluara'!$A$9:$O$177,14,FALSE)</f>
        <v>8522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8522</v>
      </c>
      <c r="K121" s="34">
        <f>K112+K119</f>
        <v>8522</v>
      </c>
      <c r="L121" s="34">
        <f>L112+L119</f>
        <v>8522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5480</v>
      </c>
      <c r="K127" s="18">
        <f t="shared" si="48"/>
        <v>5480</v>
      </c>
      <c r="L127" s="18">
        <f t="shared" si="48"/>
        <v>5480</v>
      </c>
      <c r="M127" s="18">
        <f t="shared" si="48"/>
        <v>28076</v>
      </c>
      <c r="N127" s="18">
        <f t="shared" si="48"/>
        <v>28076</v>
      </c>
      <c r="O127" s="18">
        <f t="shared" si="48"/>
        <v>28076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>
        <v>8377</v>
      </c>
      <c r="F128" s="37">
        <v>8377</v>
      </c>
      <c r="G128" s="37">
        <v>8377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>
        <v>1399</v>
      </c>
      <c r="F129" s="37">
        <v>1399</v>
      </c>
      <c r="G129" s="37">
        <v>1399</v>
      </c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>
        <v>18300</v>
      </c>
      <c r="F130" s="37">
        <v>18300</v>
      </c>
      <c r="G130" s="37">
        <v>18300</v>
      </c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28076</v>
      </c>
      <c r="F139" s="129">
        <f t="shared" ref="F139:G139" si="50">SUM(F128:F138)</f>
        <v>28076</v>
      </c>
      <c r="G139" s="129">
        <f t="shared" si="50"/>
        <v>28076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14002</v>
      </c>
      <c r="C141" s="34">
        <f t="shared" ref="C141:D141" si="51">C111</f>
        <v>14002</v>
      </c>
      <c r="D141" s="34">
        <f t="shared" si="51"/>
        <v>14002</v>
      </c>
      <c r="E141" s="129">
        <f>E126+E139</f>
        <v>28076</v>
      </c>
      <c r="F141" s="129">
        <f>F126+F139</f>
        <v>28076</v>
      </c>
      <c r="G141" s="129">
        <f t="shared" ref="G141" si="52">G126+G139</f>
        <v>28076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19</v>
      </c>
      <c r="B144" s="962" t="str">
        <f t="shared" si="53"/>
        <v>081 Shërbimet rekreative dhe sportive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19c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Funksionale'!B101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x+H7GJxnAlg8G/TN+NWoj501Q1CZ/2ukLty3ZMp4BmQUc/AoqwiZJUsoGhrTP5xGpQY7+ckcsgrtjKp+4MFwpg==" saltValue="Wi/WzAHqG4CPvQbqHuBOb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203" zoomScaleNormal="100" workbookViewId="0">
      <selection activeCell="E94" sqref="E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Fjalori'!A83</f>
        <v>Nënfunksioni 20</v>
      </c>
      <c r="B2" s="860" t="str">
        <f>+VLOOKUP($A2,'(B2) Struktura Organizative'!$A7:$E68,2,FALSE)</f>
        <v>082 Shërbimet kulturore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Funksionale'!A103</f>
        <v>Programi 20a</v>
      </c>
      <c r="B6" s="940"/>
      <c r="C6" s="941" t="str">
        <f>VLOOKUP($A6,'(B3) Struktura Funksionale'!$A$7:$E$146,3,FALSE)</f>
        <v>Trashëgimia kulturore, eventet artistike dhe kulturore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Funksionale'!A104</f>
        <v>Programi 20b</v>
      </c>
      <c r="B7" s="940"/>
      <c r="C7" s="941" t="str">
        <f>VLOOKUP($A7,'(B3) Struktura Funksionale'!$A$7:$E$146,3,FALSE)</f>
        <v>Arti dhe kultura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Funksionale'!A105</f>
        <v>Programi 20c</v>
      </c>
      <c r="B8" s="940"/>
      <c r="C8" s="941" t="str">
        <f>VLOOKUP($A8,'(B3) Struktura Funksionale'!$A$7:$E$146,3,FALSE)</f>
        <v xml:space="preserve">Muzetë, teatrot dhe eventet kulturore 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customHeight="1" x14ac:dyDescent="0.2">
      <c r="A9" s="939" t="str">
        <f>'(B3) Struktura Funksionale'!A106</f>
        <v>Programi 20d</v>
      </c>
      <c r="B9" s="940"/>
      <c r="C9" s="941">
        <f>VLOOKUP($A9,'(B3) Struktura Funksionale'!$A$7:$E$146,3,FALSE)</f>
        <v>0</v>
      </c>
      <c r="D9" s="942"/>
      <c r="E9" s="942"/>
      <c r="F9" s="942"/>
      <c r="G9" s="942"/>
      <c r="H9" s="943"/>
      <c r="I9" s="941">
        <f>VLOOKUP($A9,'(B3) Struktura Funksionale'!$A$7:$E$146,4,FALSE)</f>
        <v>0</v>
      </c>
      <c r="J9" s="942"/>
      <c r="K9" s="943"/>
      <c r="L9" s="941">
        <f>VLOOKUP($A9,'(B3) Struktura Funksionale'!$A$7:$E$146,5,FALSE)</f>
        <v>0</v>
      </c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20</v>
      </c>
      <c r="B14" s="962" t="str">
        <f>B$2</f>
        <v>082 Shërbimet kulturore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15896</v>
      </c>
      <c r="C18" s="34">
        <f t="shared" si="1"/>
        <v>15896</v>
      </c>
      <c r="D18" s="34">
        <f t="shared" si="1"/>
        <v>15896</v>
      </c>
      <c r="E18" s="129">
        <f t="shared" si="1"/>
        <v>26110</v>
      </c>
      <c r="F18" s="129">
        <f t="shared" si="1"/>
        <v>26110</v>
      </c>
      <c r="G18" s="129">
        <f t="shared" si="1"/>
        <v>26110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5271</v>
      </c>
      <c r="K19" s="35">
        <f t="shared" si="2"/>
        <v>5271</v>
      </c>
      <c r="L19" s="34">
        <f t="shared" si="2"/>
        <v>5271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10625</v>
      </c>
      <c r="K27" s="34">
        <f>K80+K119+K158+K197+K235+K273</f>
        <v>10625</v>
      </c>
      <c r="L27" s="34">
        <f>L80+L119+L158+L197+L235+L273</f>
        <v>10625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2640</v>
      </c>
      <c r="F29" s="305">
        <f t="shared" si="3"/>
        <v>2640</v>
      </c>
      <c r="G29" s="305">
        <f t="shared" si="3"/>
        <v>2640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15896</v>
      </c>
      <c r="K29" s="34">
        <f t="shared" si="5"/>
        <v>15896</v>
      </c>
      <c r="L29" s="34">
        <f t="shared" si="5"/>
        <v>15896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2640</v>
      </c>
      <c r="F33" s="129">
        <f t="shared" si="3"/>
        <v>2640</v>
      </c>
      <c r="G33" s="129">
        <f t="shared" si="3"/>
        <v>2640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26110</v>
      </c>
      <c r="N34" s="18">
        <f t="shared" si="6"/>
        <v>26110</v>
      </c>
      <c r="O34" s="18">
        <f t="shared" si="6"/>
        <v>26110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E89+E128+E167+E206+E244+E282</f>
        <v>14498</v>
      </c>
      <c r="F35" s="305">
        <f t="shared" si="7"/>
        <v>14498</v>
      </c>
      <c r="G35" s="305">
        <f t="shared" si="7"/>
        <v>14498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2422</v>
      </c>
      <c r="F36" s="305">
        <f t="shared" si="7"/>
        <v>2422</v>
      </c>
      <c r="G36" s="305">
        <f t="shared" si="7"/>
        <v>2422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6550</v>
      </c>
      <c r="F37" s="305">
        <f t="shared" si="7"/>
        <v>6550</v>
      </c>
      <c r="G37" s="305">
        <f t="shared" si="7"/>
        <v>6550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23470</v>
      </c>
      <c r="F46" s="129">
        <f t="shared" si="7"/>
        <v>23470</v>
      </c>
      <c r="G46" s="129">
        <f t="shared" si="7"/>
        <v>23470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15896</v>
      </c>
      <c r="C48" s="34">
        <f t="shared" si="11"/>
        <v>15896</v>
      </c>
      <c r="D48" s="34">
        <f t="shared" si="11"/>
        <v>15896</v>
      </c>
      <c r="E48" s="129">
        <f t="shared" si="11"/>
        <v>26110</v>
      </c>
      <c r="F48" s="129">
        <f t="shared" si="11"/>
        <v>26110</v>
      </c>
      <c r="G48" s="129">
        <f t="shared" si="11"/>
        <v>26110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26110</v>
      </c>
      <c r="N52" s="138">
        <f>VLOOKUP($A14,'(D1) Tavanet buxhetore'!$A$7:$R$473,8,FALSE)</f>
        <v>26110</v>
      </c>
      <c r="O52" s="673">
        <f>VLOOKUP($A14,'(D1) Tavanet buxhetore'!$A$7:$R$473,9,FALSE)</f>
        <v>26110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26110</v>
      </c>
      <c r="N53" s="139">
        <f t="shared" ref="N53:O53" si="13">F18</f>
        <v>26110</v>
      </c>
      <c r="O53" s="674">
        <f t="shared" si="13"/>
        <v>26110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16920</v>
      </c>
      <c r="N55" s="138">
        <f>VLOOKUP($A14,'(D1) Tavanet buxhetore'!$A$7:$R$473,11,FALSE)</f>
        <v>16920</v>
      </c>
      <c r="O55" s="673">
        <f>VLOOKUP($A14,'(D1) Tavanet buxhetore'!$A$7:$R$473,12,FALSE)</f>
        <v>16920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16920</v>
      </c>
      <c r="N56" s="139">
        <f t="shared" ref="N56:O56" si="15">F22+F35+F23+F36</f>
        <v>16920</v>
      </c>
      <c r="O56" s="674">
        <f t="shared" si="15"/>
        <v>16920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6550</v>
      </c>
      <c r="N58" s="138">
        <f>VLOOKUP($A14,'(D1) Tavanet buxhetore'!$A$7:$R$473,14,FALSE)</f>
        <v>6550</v>
      </c>
      <c r="O58" s="673">
        <f>VLOOKUP($A14,'(D1) Tavanet buxhetore'!$A$7:$R$473,15,FALSE)</f>
        <v>6550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6550</v>
      </c>
      <c r="N59" s="139">
        <f>N53-N56-N62</f>
        <v>6550</v>
      </c>
      <c r="O59" s="674">
        <f>O53-O56-O62</f>
        <v>6550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2640</v>
      </c>
      <c r="N61" s="138">
        <f>VLOOKUP($A14,'(D1) Tavanet buxhetore'!$A$7:$R$473,17,FALSE)</f>
        <v>2640</v>
      </c>
      <c r="O61" s="673">
        <f>VLOOKUP($A14,'(D1) Tavanet buxhetore'!$A$7:$R$473,18,FALSE)</f>
        <v>2640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2640</v>
      </c>
      <c r="N62" s="139">
        <f t="shared" ref="N62:O62" si="18">F29+F42</f>
        <v>2640</v>
      </c>
      <c r="O62" s="674">
        <f t="shared" si="18"/>
        <v>2640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62" t="str">
        <f t="shared" si="20"/>
        <v>082 Shërbimet kulturore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20a</v>
      </c>
      <c r="B67" s="962" t="str">
        <f>C6</f>
        <v>Trashëgimia kulturore, eventet artistike dhe kulturore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Funksionale'!B103</f>
        <v>08220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15896</v>
      </c>
      <c r="C72" s="345">
        <f>VLOOKUP(A67,'(C1) Shpenzimet vitet e kaluara'!A$9:O$177,9,FALSE)</f>
        <v>15896</v>
      </c>
      <c r="D72" s="345">
        <f>VLOOKUP(A67,'(C1) Shpenzimet vitet e kaluara'!A$9:O$177,13,FALSE)</f>
        <v>15896</v>
      </c>
      <c r="E72" s="416">
        <v>26110</v>
      </c>
      <c r="F72" s="416">
        <v>26110</v>
      </c>
      <c r="G72" s="416">
        <v>26110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5271</v>
      </c>
      <c r="K73" s="35">
        <f>VLOOKUP($A67,'(C1) Shpenzimet vitet e kaluara'!$A$9:$O$177,10,FALSE)</f>
        <v>5271</v>
      </c>
      <c r="L73" s="35">
        <f>VLOOKUP($A67,'(C1) Shpenzimet vitet e kaluara'!$A$9:$O$177,14,FALSE)</f>
        <v>5271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10625</v>
      </c>
      <c r="K80" s="35">
        <f>VLOOKUP($A67,'(C1) Shpenzimet vitet e kaluara'!$A$9:$O$177,11,FALSE)</f>
        <v>10625</v>
      </c>
      <c r="L80" s="35">
        <f>VLOOKUP($A67,'(C1) Shpenzimet vitet e kaluara'!$A$9:$O$177,15,FALSE)</f>
        <v>10625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15896</v>
      </c>
      <c r="K82" s="34">
        <f>K73+K80</f>
        <v>15896</v>
      </c>
      <c r="L82" s="34">
        <f>L73+L80</f>
        <v>15896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>
        <v>2640</v>
      </c>
      <c r="F83" s="37">
        <v>2640</v>
      </c>
      <c r="G83" s="37">
        <v>2640</v>
      </c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2640</v>
      </c>
      <c r="F87" s="129">
        <f t="shared" ref="F87:G87" si="30">SUM(F76:F86)</f>
        <v>2640</v>
      </c>
      <c r="G87" s="129">
        <f t="shared" si="30"/>
        <v>2640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26110</v>
      </c>
      <c r="N88" s="18">
        <f t="shared" si="31"/>
        <v>26110</v>
      </c>
      <c r="O88" s="18">
        <f t="shared" si="31"/>
        <v>26110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14498</v>
      </c>
      <c r="F89" s="37">
        <v>14498</v>
      </c>
      <c r="G89" s="37">
        <v>14498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2422</v>
      </c>
      <c r="F90" s="37">
        <v>2422</v>
      </c>
      <c r="G90" s="37">
        <v>2422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6550</v>
      </c>
      <c r="F91" s="37">
        <v>6550</v>
      </c>
      <c r="G91" s="37">
        <v>6550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23470</v>
      </c>
      <c r="F100" s="129">
        <f t="shared" ref="F100:G100" si="33">SUM(F89:F99)</f>
        <v>23470</v>
      </c>
      <c r="G100" s="129">
        <f t="shared" si="33"/>
        <v>23470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15896</v>
      </c>
      <c r="C102" s="34">
        <f t="shared" ref="C102:D102" si="34">C72</f>
        <v>15896</v>
      </c>
      <c r="D102" s="34">
        <f t="shared" si="34"/>
        <v>15896</v>
      </c>
      <c r="E102" s="129">
        <f>E87+E100</f>
        <v>26110</v>
      </c>
      <c r="F102" s="129">
        <f>F87+F100</f>
        <v>26110</v>
      </c>
      <c r="G102" s="129">
        <f t="shared" ref="G102" si="35">G87+G100</f>
        <v>26110</v>
      </c>
      <c r="H102" s="53"/>
      <c r="I102" s="420"/>
      <c r="J102" s="1014"/>
      <c r="K102" s="1015"/>
      <c r="L102" s="1015"/>
      <c r="M102" s="1015"/>
      <c r="N102" s="1015"/>
      <c r="O102" s="101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62" t="str">
        <f t="shared" si="36"/>
        <v>082 Shërbimet kulturore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62" t="str">
        <f>C7</f>
        <v>Arti dhe kultura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Funksionale'!B104</f>
        <v>08230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 t="shared" ref="I111:O111" si="41">I72</f>
        <v>VLERËSIM I ARDHURAVE NGA TARIFAT</v>
      </c>
      <c r="J111" s="964">
        <f t="shared" si="41"/>
        <v>0</v>
      </c>
      <c r="K111" s="964">
        <f t="shared" si="41"/>
        <v>0</v>
      </c>
      <c r="L111" s="964">
        <f t="shared" si="41"/>
        <v>0</v>
      </c>
      <c r="M111" s="964">
        <f t="shared" si="41"/>
        <v>0</v>
      </c>
      <c r="N111" s="964">
        <f t="shared" si="41"/>
        <v>0</v>
      </c>
      <c r="O111" s="965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62" t="str">
        <f t="shared" si="53"/>
        <v>082 Shërbimet kulturore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62" t="str">
        <f>C8</f>
        <v xml:space="preserve">Muzetë, teatrot dhe eventet kulturore 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hidden="1" customHeight="1" x14ac:dyDescent="0.2">
      <c r="A146" s="647" t="str">
        <f>'(B3) Struktura Funksionale'!B105</f>
        <v>08280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hidden="1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hidden="1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hidden="1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hidden="1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hidden="1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hidden="1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62" t="str">
        <f t="shared" si="70"/>
        <v>082 Shërbimet kulturore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x14ac:dyDescent="0.2">
      <c r="A184" s="276" t="str">
        <f>A9</f>
        <v>Programi 20d</v>
      </c>
      <c r="B184" s="962">
        <f>C9</f>
        <v>0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647">
        <f>'(B3) Struktura Funksionale'!B106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129"/>
      <c r="F203" s="129"/>
      <c r="G203" s="129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hidden="1" customHeight="1" x14ac:dyDescent="0.2">
      <c r="A222" s="213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17.25" hidden="1" customHeight="1" x14ac:dyDescent="0.2">
      <c r="A223" s="276"/>
      <c r="B223" s="962"/>
      <c r="C223" s="962"/>
      <c r="D223" s="962"/>
      <c r="E223" s="962"/>
      <c r="F223" s="962"/>
      <c r="G223" s="962"/>
      <c r="H223" s="962"/>
      <c r="I223" s="962"/>
      <c r="J223" s="962"/>
      <c r="K223" s="962"/>
      <c r="L223" s="962"/>
      <c r="M223" s="962"/>
      <c r="N223" s="962"/>
      <c r="O223" s="962"/>
    </row>
    <row r="224" spans="1:15" ht="21.75" hidden="1" customHeight="1" x14ac:dyDescent="0.2">
      <c r="A224" s="958"/>
      <c r="B224" s="959"/>
      <c r="C224" s="959"/>
      <c r="D224" s="959"/>
      <c r="E224" s="959"/>
      <c r="F224" s="959"/>
      <c r="G224" s="979"/>
      <c r="H224" s="131"/>
      <c r="I224" s="980"/>
      <c r="J224" s="959"/>
      <c r="K224" s="959"/>
      <c r="L224" s="959"/>
      <c r="M224" s="959"/>
      <c r="N224" s="959"/>
      <c r="O224" s="97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63"/>
      <c r="J227" s="964"/>
      <c r="K227" s="964"/>
      <c r="L227" s="964"/>
      <c r="M227" s="964"/>
      <c r="N227" s="964"/>
      <c r="O227" s="96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9"/>
      <c r="B229" s="970"/>
      <c r="C229" s="970"/>
      <c r="D229" s="970"/>
      <c r="E229" s="970"/>
      <c r="F229" s="970"/>
      <c r="G229" s="971"/>
      <c r="H229" s="10"/>
    </row>
    <row r="230" spans="1:15" ht="12.75" hidden="1" x14ac:dyDescent="0.2">
      <c r="A230" s="963"/>
      <c r="B230" s="964"/>
      <c r="C230" s="964"/>
      <c r="D230" s="964"/>
      <c r="E230" s="964"/>
      <c r="F230" s="964"/>
      <c r="G230" s="965"/>
      <c r="H230" s="31"/>
      <c r="I230" s="963"/>
      <c r="J230" s="964"/>
      <c r="K230" s="964"/>
      <c r="L230" s="964"/>
      <c r="M230" s="964"/>
      <c r="N230" s="964"/>
      <c r="O230" s="965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</row>
    <row r="241" spans="1:15" ht="12.75" hidden="1" x14ac:dyDescent="0.2">
      <c r="A241" s="124"/>
      <c r="B241" s="966"/>
      <c r="C241" s="967"/>
      <c r="D241" s="968"/>
      <c r="E241" s="37"/>
      <c r="F241" s="37"/>
      <c r="G241" s="37"/>
      <c r="H241" s="53"/>
      <c r="I241" s="972"/>
      <c r="J241" s="973"/>
      <c r="K241" s="973"/>
      <c r="L241" s="973"/>
      <c r="M241" s="973"/>
      <c r="N241" s="973"/>
      <c r="O241" s="974"/>
    </row>
    <row r="242" spans="1:15" ht="12.75" hidden="1" customHeight="1" x14ac:dyDescent="0.2">
      <c r="A242" s="306"/>
      <c r="B242" s="966"/>
      <c r="C242" s="967"/>
      <c r="D242" s="968"/>
      <c r="E242" s="129"/>
      <c r="F242" s="129"/>
      <c r="G242" s="129"/>
      <c r="H242" s="53"/>
      <c r="I242" s="975"/>
      <c r="J242" s="976"/>
      <c r="K242" s="976"/>
      <c r="L242" s="976"/>
      <c r="M242" s="976"/>
      <c r="N242" s="976"/>
      <c r="O242" s="977"/>
    </row>
    <row r="243" spans="1:15" ht="12.75" hidden="1" x14ac:dyDescent="0.2">
      <c r="A243" s="963"/>
      <c r="B243" s="964"/>
      <c r="C243" s="964"/>
      <c r="D243" s="964"/>
      <c r="E243" s="964"/>
      <c r="F243" s="964"/>
      <c r="G243" s="96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252"/>
      <c r="J246" s="1027"/>
      <c r="K246" s="1028"/>
      <c r="L246" s="1029"/>
      <c r="M246" s="129"/>
      <c r="N246" s="129"/>
      <c r="O246" s="129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8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7"/>
      <c r="K249" s="1028"/>
      <c r="L249" s="1029"/>
      <c r="M249" s="128"/>
      <c r="N249" s="128"/>
      <c r="O249" s="132"/>
    </row>
    <row r="250" spans="1:15" ht="12.75" hidden="1" x14ac:dyDescent="0.2">
      <c r="A250" s="124"/>
      <c r="B250" s="966"/>
      <c r="C250" s="967"/>
      <c r="D250" s="968"/>
      <c r="E250" s="37"/>
      <c r="F250" s="37"/>
      <c r="G250" s="37"/>
      <c r="H250" s="53"/>
      <c r="I250" s="315"/>
      <c r="J250" s="1023"/>
      <c r="K250" s="1023"/>
      <c r="L250" s="102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66"/>
      <c r="C251" s="967"/>
      <c r="D251" s="968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19">
        <f>M225</f>
        <v>0</v>
      </c>
      <c r="J252" s="1008"/>
      <c r="K252" s="1009"/>
      <c r="L252" s="1009"/>
      <c r="M252" s="1009"/>
      <c r="N252" s="1009"/>
      <c r="O252" s="1010"/>
    </row>
    <row r="253" spans="1:15" ht="12.75" hidden="1" x14ac:dyDescent="0.2">
      <c r="A253" s="124"/>
      <c r="B253" s="996"/>
      <c r="C253" s="997"/>
      <c r="D253" s="998"/>
      <c r="E253" s="37"/>
      <c r="F253" s="37"/>
      <c r="G253" s="37"/>
      <c r="H253" s="53"/>
      <c r="I253" s="420"/>
      <c r="J253" s="1011"/>
      <c r="K253" s="1012"/>
      <c r="L253" s="1012"/>
      <c r="M253" s="1012"/>
      <c r="N253" s="1012"/>
      <c r="O253" s="1013"/>
    </row>
    <row r="254" spans="1:15" ht="12.75" hidden="1" x14ac:dyDescent="0.2">
      <c r="A254" s="252"/>
      <c r="B254" s="966"/>
      <c r="C254" s="967"/>
      <c r="D254" s="311"/>
      <c r="E254" s="308"/>
      <c r="F254" s="308"/>
      <c r="G254" s="308"/>
      <c r="H254" s="53"/>
      <c r="I254" s="419">
        <f>N225</f>
        <v>0</v>
      </c>
      <c r="J254" s="1008"/>
      <c r="K254" s="1009"/>
      <c r="L254" s="1009"/>
      <c r="M254" s="1009"/>
      <c r="N254" s="1009"/>
      <c r="O254" s="1010"/>
    </row>
    <row r="255" spans="1:15" ht="12.75" hidden="1" x14ac:dyDescent="0.2">
      <c r="A255" s="124"/>
      <c r="B255" s="999"/>
      <c r="C255" s="1000"/>
      <c r="D255" s="1001"/>
      <c r="E255" s="129"/>
      <c r="F255" s="129"/>
      <c r="G255" s="129"/>
      <c r="H255" s="53"/>
      <c r="I255" s="420"/>
      <c r="J255" s="1014"/>
      <c r="K255" s="1015"/>
      <c r="L255" s="1015"/>
      <c r="M255" s="1015"/>
      <c r="N255" s="1015"/>
      <c r="O255" s="101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1008"/>
      <c r="K256" s="1009"/>
      <c r="L256" s="1009"/>
      <c r="M256" s="1009"/>
      <c r="N256" s="1009"/>
      <c r="O256" s="101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1014"/>
      <c r="K257" s="1015"/>
      <c r="L257" s="1015"/>
      <c r="M257" s="1015"/>
      <c r="N257" s="1015"/>
      <c r="O257" s="101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17.25" hidden="1" customHeight="1" x14ac:dyDescent="0.2">
      <c r="A261" s="276"/>
      <c r="B261" s="962"/>
      <c r="C261" s="962"/>
      <c r="D261" s="962"/>
      <c r="E261" s="962"/>
      <c r="F261" s="962"/>
      <c r="G261" s="962"/>
      <c r="H261" s="962"/>
      <c r="I261" s="962"/>
      <c r="J261" s="962"/>
      <c r="K261" s="962"/>
      <c r="L261" s="962"/>
      <c r="M261" s="962"/>
      <c r="N261" s="962"/>
      <c r="O261" s="962"/>
    </row>
    <row r="262" spans="1:15" ht="22.5" hidden="1" customHeight="1" x14ac:dyDescent="0.2">
      <c r="A262" s="958"/>
      <c r="B262" s="959"/>
      <c r="C262" s="959"/>
      <c r="D262" s="959"/>
      <c r="E262" s="959"/>
      <c r="F262" s="959"/>
      <c r="G262" s="979"/>
      <c r="H262" s="131"/>
      <c r="I262" s="980"/>
      <c r="J262" s="959"/>
      <c r="K262" s="959"/>
      <c r="L262" s="959"/>
      <c r="M262" s="959"/>
      <c r="N262" s="959"/>
      <c r="O262" s="97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63"/>
      <c r="J265" s="964"/>
      <c r="K265" s="964"/>
      <c r="L265" s="964"/>
      <c r="M265" s="964"/>
      <c r="N265" s="964"/>
      <c r="O265" s="96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30"/>
      <c r="B267" s="1031"/>
      <c r="C267" s="1031"/>
      <c r="D267" s="1031"/>
      <c r="E267" s="1031"/>
      <c r="F267" s="1031"/>
      <c r="G267" s="1032"/>
      <c r="H267" s="10"/>
    </row>
    <row r="268" spans="1:15" ht="12.75" hidden="1" x14ac:dyDescent="0.2">
      <c r="A268" s="963"/>
      <c r="B268" s="964"/>
      <c r="C268" s="964"/>
      <c r="D268" s="964"/>
      <c r="E268" s="964"/>
      <c r="F268" s="964"/>
      <c r="G268" s="965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</row>
    <row r="279" spans="1:15" ht="12.75" hidden="1" x14ac:dyDescent="0.2">
      <c r="A279" s="124"/>
      <c r="B279" s="966"/>
      <c r="C279" s="967"/>
      <c r="D279" s="968"/>
      <c r="E279" s="37"/>
      <c r="F279" s="37"/>
      <c r="G279" s="37"/>
      <c r="H279" s="53"/>
      <c r="I279" s="972"/>
      <c r="J279" s="973"/>
      <c r="K279" s="973"/>
      <c r="L279" s="973"/>
      <c r="M279" s="973"/>
      <c r="N279" s="973"/>
      <c r="O279" s="974"/>
    </row>
    <row r="280" spans="1:15" ht="12.75" hidden="1" customHeight="1" x14ac:dyDescent="0.2">
      <c r="A280" s="306"/>
      <c r="B280" s="966"/>
      <c r="C280" s="967"/>
      <c r="D280" s="968"/>
      <c r="E280" s="129"/>
      <c r="F280" s="129"/>
      <c r="G280" s="129"/>
      <c r="H280" s="53"/>
      <c r="I280" s="975"/>
      <c r="J280" s="976"/>
      <c r="K280" s="976"/>
      <c r="L280" s="976"/>
      <c r="M280" s="976"/>
      <c r="N280" s="976"/>
      <c r="O280" s="977"/>
    </row>
    <row r="281" spans="1:15" ht="12.75" hidden="1" x14ac:dyDescent="0.2">
      <c r="A281" s="963"/>
      <c r="B281" s="964"/>
      <c r="C281" s="964"/>
      <c r="D281" s="964"/>
      <c r="E281" s="964"/>
      <c r="F281" s="964"/>
      <c r="G281" s="96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252"/>
      <c r="J284" s="1034"/>
      <c r="K284" s="1035"/>
      <c r="L284" s="1036"/>
      <c r="M284" s="129"/>
      <c r="N284" s="129"/>
      <c r="O284" s="129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8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34"/>
      <c r="K287" s="1035"/>
      <c r="L287" s="1036"/>
      <c r="M287" s="128"/>
      <c r="N287" s="128"/>
      <c r="O287" s="132"/>
    </row>
    <row r="288" spans="1:15" ht="12.75" hidden="1" x14ac:dyDescent="0.2">
      <c r="A288" s="124"/>
      <c r="B288" s="966"/>
      <c r="C288" s="967"/>
      <c r="D288" s="968"/>
      <c r="E288" s="37"/>
      <c r="F288" s="37"/>
      <c r="G288" s="37"/>
      <c r="H288" s="53"/>
      <c r="I288" s="315"/>
      <c r="J288" s="1023"/>
      <c r="K288" s="1023"/>
      <c r="L288" s="102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66"/>
      <c r="C289" s="967"/>
      <c r="D289" s="968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19">
        <f>M263</f>
        <v>0</v>
      </c>
      <c r="J290" s="1008"/>
      <c r="K290" s="1009"/>
      <c r="L290" s="1009"/>
      <c r="M290" s="1009"/>
      <c r="N290" s="1009"/>
      <c r="O290" s="1010"/>
    </row>
    <row r="291" spans="1:15" ht="12.75" hidden="1" x14ac:dyDescent="0.2">
      <c r="A291" s="124"/>
      <c r="B291" s="996"/>
      <c r="C291" s="997"/>
      <c r="D291" s="998"/>
      <c r="E291" s="37"/>
      <c r="F291" s="37"/>
      <c r="G291" s="37"/>
      <c r="H291" s="53"/>
      <c r="I291" s="420"/>
      <c r="J291" s="1011"/>
      <c r="K291" s="1012"/>
      <c r="L291" s="1012"/>
      <c r="M291" s="1012"/>
      <c r="N291" s="1012"/>
      <c r="O291" s="1013"/>
    </row>
    <row r="292" spans="1:15" ht="12.75" hidden="1" x14ac:dyDescent="0.2">
      <c r="A292" s="252"/>
      <c r="B292" s="966"/>
      <c r="C292" s="967"/>
      <c r="D292" s="311"/>
      <c r="E292" s="308"/>
      <c r="F292" s="308"/>
      <c r="G292" s="308"/>
      <c r="H292" s="53"/>
      <c r="I292" s="419">
        <f>N263</f>
        <v>0</v>
      </c>
      <c r="J292" s="1008"/>
      <c r="K292" s="1009"/>
      <c r="L292" s="1009"/>
      <c r="M292" s="1009"/>
      <c r="N292" s="1009"/>
      <c r="O292" s="1010"/>
    </row>
    <row r="293" spans="1:15" ht="12.75" hidden="1" x14ac:dyDescent="0.2">
      <c r="A293" s="124"/>
      <c r="B293" s="999"/>
      <c r="C293" s="1000"/>
      <c r="D293" s="1001"/>
      <c r="E293" s="129"/>
      <c r="F293" s="129"/>
      <c r="G293" s="129"/>
      <c r="H293" s="53"/>
      <c r="I293" s="420"/>
      <c r="J293" s="1014"/>
      <c r="K293" s="1015"/>
      <c r="L293" s="1015"/>
      <c r="M293" s="1015"/>
      <c r="N293" s="1015"/>
      <c r="O293" s="101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1008"/>
      <c r="K294" s="1009"/>
      <c r="L294" s="1009"/>
      <c r="M294" s="1009"/>
      <c r="N294" s="1009"/>
      <c r="O294" s="101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1014"/>
      <c r="K295" s="1015"/>
      <c r="L295" s="1015"/>
      <c r="M295" s="1015"/>
      <c r="N295" s="1015"/>
      <c r="O295" s="1016"/>
    </row>
  </sheetData>
  <sheetProtection algorithmName="SHA-512" hashValue="uXGmZa2MBKsBz5LbUs9CIQTLOyzWhzCU0sHdwcGmQT+364tE/1XDZQCmSisbxSU9KVgecr+qLZQV+Y2RryBSiw==" saltValue="HzADewwJXVfDMsbBcbZrR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96" zoomScaleNormal="100" workbookViewId="0">
      <selection activeCell="F89" sqref="F89:G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Fjalori'!A84</f>
        <v>Nënfunksioni 21</v>
      </c>
      <c r="B2" s="860" t="str">
        <f>+VLOOKUP($A2,'(B2) Struktura Organizative'!$A7:$E68,2,FALSE)</f>
        <v>091 Arsimi bazë dhe parashkollor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Funksionale'!A109</f>
        <v>Programi 21a</v>
      </c>
      <c r="B6" s="940"/>
      <c r="C6" s="941" t="str">
        <f>VLOOKUP($A6,'(B3) Struktura Funksionale'!$A$7:$E$146,3,FALSE)</f>
        <v>Arsimi bazë përfshirë arsimin parashkollor.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Transferuar</v>
      </c>
      <c r="M6" s="942"/>
      <c r="N6" s="942"/>
      <c r="O6" s="943"/>
    </row>
    <row r="7" spans="1:15" ht="13.5" hidden="1" customHeight="1" x14ac:dyDescent="0.2">
      <c r="A7" s="939" t="str">
        <f>'(B3) Struktura Funksionale'!A110</f>
        <v>Programi 21b</v>
      </c>
      <c r="B7" s="940"/>
      <c r="C7" s="941" t="str">
        <f>VLOOKUP($A7,'(B3) Struktura Funksionale'!$A$7:$E$146,3,FALSE)</f>
        <v>Mësuesit e kopshteve dhe pagat e stafit mbështetës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Transferuar</v>
      </c>
      <c r="M7" s="942"/>
      <c r="N7" s="942"/>
      <c r="O7" s="943"/>
    </row>
    <row r="8" spans="1:15" ht="13.5" hidden="1" customHeight="1" x14ac:dyDescent="0.2">
      <c r="A8" s="939" t="str">
        <f>'(B3) Struktura Funksionale'!A111</f>
        <v>Programi 21c</v>
      </c>
      <c r="B8" s="940"/>
      <c r="C8" s="941" t="str">
        <f>VLOOKUP($A8,'(B3) Struktura Funksionale'!$A$7:$E$146,3,FALSE)</f>
        <v>Ushqimi i kopshteve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veti</v>
      </c>
      <c r="M8" s="942"/>
      <c r="N8" s="942"/>
      <c r="O8" s="943"/>
    </row>
    <row r="9" spans="1:15" ht="13.5" customHeight="1" x14ac:dyDescent="0.2">
      <c r="A9" s="939" t="str">
        <f>'(B3) Struktura Funksionale'!A112</f>
        <v>Programi 21d</v>
      </c>
      <c r="B9" s="940"/>
      <c r="C9" s="941">
        <f>VLOOKUP($A9,'(B3) Struktura Funksionale'!$A$7:$E$146,3,FALSE)</f>
        <v>0</v>
      </c>
      <c r="D9" s="942"/>
      <c r="E9" s="942"/>
      <c r="F9" s="942"/>
      <c r="G9" s="942"/>
      <c r="H9" s="943"/>
      <c r="I9" s="941">
        <f>VLOOKUP($A9,'(B3) Struktura Funksionale'!$A$7:$E$146,4,FALSE)</f>
        <v>0</v>
      </c>
      <c r="J9" s="942"/>
      <c r="K9" s="943"/>
      <c r="L9" s="941">
        <f>VLOOKUP($A9,'(B3) Struktura Funksionale'!$A$7:$E$146,5,FALSE)</f>
        <v>0</v>
      </c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21</v>
      </c>
      <c r="B14" s="962" t="str">
        <f>B$2</f>
        <v>091 Arsimi bazë dhe parashkollor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136432</v>
      </c>
      <c r="C18" s="34">
        <f t="shared" si="1"/>
        <v>136432</v>
      </c>
      <c r="D18" s="34">
        <f t="shared" si="1"/>
        <v>136432</v>
      </c>
      <c r="E18" s="129">
        <f t="shared" si="1"/>
        <v>157605</v>
      </c>
      <c r="F18" s="129">
        <f t="shared" si="1"/>
        <v>157605</v>
      </c>
      <c r="G18" s="129">
        <f t="shared" si="1"/>
        <v>157605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136432</v>
      </c>
      <c r="K27" s="34">
        <f>K80+K119+K158+K197+K235+K273</f>
        <v>136432</v>
      </c>
      <c r="L27" s="34">
        <f>L80+L119+L158+L197+L235+L273</f>
        <v>136432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2950</v>
      </c>
      <c r="F29" s="305">
        <f t="shared" si="3"/>
        <v>2950</v>
      </c>
      <c r="G29" s="305">
        <f t="shared" si="3"/>
        <v>2950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136432</v>
      </c>
      <c r="K29" s="34">
        <f t="shared" si="5"/>
        <v>136432</v>
      </c>
      <c r="L29" s="34">
        <f t="shared" si="5"/>
        <v>136432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2950</v>
      </c>
      <c r="F33" s="129">
        <f t="shared" si="3"/>
        <v>2950</v>
      </c>
      <c r="G33" s="129">
        <f t="shared" si="3"/>
        <v>2950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157605</v>
      </c>
      <c r="N34" s="18">
        <f t="shared" si="6"/>
        <v>157605</v>
      </c>
      <c r="O34" s="18">
        <f t="shared" si="6"/>
        <v>157605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E89+E128+E167+E206+E244+E282</f>
        <v>120263</v>
      </c>
      <c r="F35" s="305">
        <f t="shared" si="7"/>
        <v>120263</v>
      </c>
      <c r="G35" s="305">
        <f t="shared" si="7"/>
        <v>120263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20085</v>
      </c>
      <c r="F36" s="305">
        <f t="shared" si="7"/>
        <v>20085</v>
      </c>
      <c r="G36" s="305">
        <f t="shared" si="7"/>
        <v>20085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14307</v>
      </c>
      <c r="F37" s="305">
        <f t="shared" si="7"/>
        <v>14307</v>
      </c>
      <c r="G37" s="305">
        <f t="shared" si="7"/>
        <v>14307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154655</v>
      </c>
      <c r="F46" s="129">
        <f t="shared" si="7"/>
        <v>154655</v>
      </c>
      <c r="G46" s="129">
        <f t="shared" si="7"/>
        <v>154655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136432</v>
      </c>
      <c r="C48" s="34">
        <f t="shared" si="11"/>
        <v>136432</v>
      </c>
      <c r="D48" s="34">
        <f t="shared" si="11"/>
        <v>136432</v>
      </c>
      <c r="E48" s="129">
        <f t="shared" si="11"/>
        <v>157605</v>
      </c>
      <c r="F48" s="129">
        <f t="shared" si="11"/>
        <v>157605</v>
      </c>
      <c r="G48" s="129">
        <f t="shared" si="11"/>
        <v>157605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157605</v>
      </c>
      <c r="N52" s="138">
        <f>VLOOKUP($A14,'(D1) Tavanet buxhetore'!$A$7:$R$473,8,FALSE)</f>
        <v>157605</v>
      </c>
      <c r="O52" s="673">
        <f>VLOOKUP($A14,'(D1) Tavanet buxhetore'!$A$7:$R$473,9,FALSE)</f>
        <v>157605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157605</v>
      </c>
      <c r="N53" s="139">
        <f t="shared" ref="N53:O53" si="13">F18</f>
        <v>157605</v>
      </c>
      <c r="O53" s="674">
        <f t="shared" si="13"/>
        <v>157605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140348</v>
      </c>
      <c r="N55" s="138">
        <f>VLOOKUP($A14,'(D1) Tavanet buxhetore'!$A$7:$R$473,11,FALSE)</f>
        <v>140348</v>
      </c>
      <c r="O55" s="673">
        <f>VLOOKUP($A14,'(D1) Tavanet buxhetore'!$A$7:$R$473,12,FALSE)</f>
        <v>140348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140348</v>
      </c>
      <c r="N56" s="139">
        <f t="shared" ref="N56:O56" si="15">F22+F35+F23+F36</f>
        <v>140348</v>
      </c>
      <c r="O56" s="674">
        <f t="shared" si="15"/>
        <v>140348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14307</v>
      </c>
      <c r="N58" s="138">
        <f>VLOOKUP($A14,'(D1) Tavanet buxhetore'!$A$7:$R$473,14,FALSE)</f>
        <v>14307</v>
      </c>
      <c r="O58" s="673">
        <f>VLOOKUP($A14,'(D1) Tavanet buxhetore'!$A$7:$R$473,15,FALSE)</f>
        <v>14307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14307</v>
      </c>
      <c r="N59" s="139">
        <f>N53-N56-N62</f>
        <v>14307</v>
      </c>
      <c r="O59" s="674">
        <f>O53-O56-O62</f>
        <v>14307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2950</v>
      </c>
      <c r="N61" s="138">
        <f>VLOOKUP($A14,'(D1) Tavanet buxhetore'!$A$7:$R$473,17,FALSE)</f>
        <v>2950</v>
      </c>
      <c r="O61" s="673">
        <f>VLOOKUP($A14,'(D1) Tavanet buxhetore'!$A$7:$R$473,18,FALSE)</f>
        <v>2950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2950</v>
      </c>
      <c r="N62" s="139">
        <f t="shared" ref="N62:O62" si="18">F29+F42</f>
        <v>2950</v>
      </c>
      <c r="O62" s="674">
        <f t="shared" si="18"/>
        <v>2950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62" t="str">
        <f t="shared" si="20"/>
        <v>091 Arsimi bazë dhe parashkollor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21a</v>
      </c>
      <c r="B67" s="962" t="str">
        <f>C6</f>
        <v>Arsimi bazë përfshirë arsimin parashkollor.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Funksionale'!B109</f>
        <v>09120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136432</v>
      </c>
      <c r="C72" s="345">
        <f>VLOOKUP(A67,'(C1) Shpenzimet vitet e kaluara'!A$9:O$177,9,FALSE)</f>
        <v>136432</v>
      </c>
      <c r="D72" s="345">
        <f>VLOOKUP(A67,'(C1) Shpenzimet vitet e kaluara'!A$9:O$177,13,FALSE)</f>
        <v>136432</v>
      </c>
      <c r="E72" s="416">
        <v>157605</v>
      </c>
      <c r="F72" s="416">
        <v>157605</v>
      </c>
      <c r="G72" s="416">
        <v>157605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136432</v>
      </c>
      <c r="K80" s="35">
        <f>VLOOKUP($A67,'(C1) Shpenzimet vitet e kaluara'!$A$9:$O$177,11,FALSE)</f>
        <v>136432</v>
      </c>
      <c r="L80" s="35">
        <f>VLOOKUP($A67,'(C1) Shpenzimet vitet e kaluara'!$A$9:$O$177,15,FALSE)</f>
        <v>136432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136432</v>
      </c>
      <c r="K82" s="34">
        <f>K73+K80</f>
        <v>136432</v>
      </c>
      <c r="L82" s="34">
        <f>L73+L80</f>
        <v>136432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>
        <v>2950</v>
      </c>
      <c r="F83" s="37">
        <v>2950</v>
      </c>
      <c r="G83" s="37">
        <v>2950</v>
      </c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2950</v>
      </c>
      <c r="F87" s="129">
        <f t="shared" ref="F87:G87" si="30">SUM(F76:F86)</f>
        <v>2950</v>
      </c>
      <c r="G87" s="129">
        <f t="shared" si="30"/>
        <v>2950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157605</v>
      </c>
      <c r="N88" s="18">
        <f t="shared" si="31"/>
        <v>157605</v>
      </c>
      <c r="O88" s="18">
        <f t="shared" si="31"/>
        <v>157605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120263</v>
      </c>
      <c r="F89" s="37">
        <v>120263</v>
      </c>
      <c r="G89" s="37">
        <v>120263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20085</v>
      </c>
      <c r="F90" s="37">
        <v>20085</v>
      </c>
      <c r="G90" s="37">
        <v>20085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14307</v>
      </c>
      <c r="F91" s="37">
        <v>14307</v>
      </c>
      <c r="G91" s="37">
        <v>14307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154655</v>
      </c>
      <c r="F100" s="129">
        <f t="shared" ref="F100:G100" si="33">SUM(F89:F99)</f>
        <v>154655</v>
      </c>
      <c r="G100" s="129">
        <f t="shared" si="33"/>
        <v>154655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136432</v>
      </c>
      <c r="C102" s="34">
        <f t="shared" ref="C102:D102" si="34">C72</f>
        <v>136432</v>
      </c>
      <c r="D102" s="34">
        <f t="shared" si="34"/>
        <v>136432</v>
      </c>
      <c r="E102" s="129">
        <f>E87+E100</f>
        <v>157605</v>
      </c>
      <c r="F102" s="129">
        <f>F87+F100</f>
        <v>157605</v>
      </c>
      <c r="G102" s="129">
        <f t="shared" ref="G102" si="35">G87+G100</f>
        <v>157605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hidden="1" customHeight="1" x14ac:dyDescent="0.2">
      <c r="A105" s="213" t="str">
        <f t="shared" ref="A105:O105" si="36">A66</f>
        <v>Nënfunksioni 21</v>
      </c>
      <c r="B105" s="962" t="str">
        <f t="shared" si="36"/>
        <v>091 Arsimi bazë dhe parashkollor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62" t="str">
        <f>C7</f>
        <v>Mësuesit e kopshteve dhe pagat e stafit mbështetës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Funksionale'!B110</f>
        <v>09122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8" t="str">
        <f t="shared" ref="A108:G108" si="37">A69</f>
        <v>SHPENZIME TË PRITSHME</v>
      </c>
      <c r="B108" s="959">
        <f t="shared" si="37"/>
        <v>0</v>
      </c>
      <c r="C108" s="959">
        <f t="shared" si="37"/>
        <v>0</v>
      </c>
      <c r="D108" s="959">
        <f t="shared" si="37"/>
        <v>0</v>
      </c>
      <c r="E108" s="959">
        <f t="shared" si="37"/>
        <v>0</v>
      </c>
      <c r="F108" s="959">
        <f t="shared" si="37"/>
        <v>0</v>
      </c>
      <c r="G108" s="979">
        <f t="shared" si="37"/>
        <v>0</v>
      </c>
      <c r="H108" s="131"/>
      <c r="I108" s="980" t="str">
        <f t="shared" ref="I108:O108" si="38">I69</f>
        <v xml:space="preserve">TË ARDHURAT E PRITSHME </v>
      </c>
      <c r="J108" s="959">
        <f t="shared" si="38"/>
        <v>0</v>
      </c>
      <c r="K108" s="959">
        <f t="shared" si="38"/>
        <v>0</v>
      </c>
      <c r="L108" s="959">
        <f t="shared" si="38"/>
        <v>0</v>
      </c>
      <c r="M108" s="959">
        <f t="shared" si="38"/>
        <v>0</v>
      </c>
      <c r="N108" s="959">
        <f t="shared" si="38"/>
        <v>0</v>
      </c>
      <c r="O108" s="97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37"/>
      <c r="F125" s="37"/>
      <c r="G125" s="37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62" t="str">
        <f t="shared" si="53"/>
        <v>091 Arsimi bazë dhe parashkollor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62" t="str">
        <f>C8</f>
        <v>Ushqimi i kopshteve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hidden="1" customHeight="1" x14ac:dyDescent="0.2">
      <c r="A146" s="647" t="str">
        <f>'(B3) Struktura Funksionale'!B111</f>
        <v>09123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8" t="str">
        <f t="shared" ref="A147:G147" si="54">A69</f>
        <v>SHPENZIME TË PRITSHME</v>
      </c>
      <c r="B147" s="959">
        <f t="shared" si="54"/>
        <v>0</v>
      </c>
      <c r="C147" s="959">
        <f t="shared" si="54"/>
        <v>0</v>
      </c>
      <c r="D147" s="959">
        <f t="shared" si="54"/>
        <v>0</v>
      </c>
      <c r="E147" s="959">
        <f t="shared" si="54"/>
        <v>0</v>
      </c>
      <c r="F147" s="959">
        <f t="shared" si="54"/>
        <v>0</v>
      </c>
      <c r="G147" s="979">
        <f t="shared" si="54"/>
        <v>0</v>
      </c>
      <c r="H147" s="131"/>
      <c r="I147" s="980" t="str">
        <f t="shared" ref="I147:O147" si="55">I69</f>
        <v xml:space="preserve">TË ARDHURAT E PRITSHME </v>
      </c>
      <c r="J147" s="959">
        <f t="shared" si="55"/>
        <v>0</v>
      </c>
      <c r="K147" s="959">
        <f t="shared" si="55"/>
        <v>0</v>
      </c>
      <c r="L147" s="959">
        <f t="shared" si="55"/>
        <v>0</v>
      </c>
      <c r="M147" s="959">
        <f t="shared" si="55"/>
        <v>0</v>
      </c>
      <c r="N147" s="959">
        <f t="shared" si="55"/>
        <v>0</v>
      </c>
      <c r="O147" s="97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hidden="1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hidden="1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37"/>
      <c r="F164" s="37"/>
      <c r="G164" s="37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hidden="1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hidden="1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hidden="1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hidden="1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62" t="str">
        <f t="shared" si="70"/>
        <v>091 Arsimi bazë dhe parashkollor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x14ac:dyDescent="0.2">
      <c r="A184" s="276" t="str">
        <f>A9</f>
        <v>Programi 21d</v>
      </c>
      <c r="B184" s="962">
        <f>C9</f>
        <v>0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647">
        <f>'(B3) Struktura Funksionale'!B112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129"/>
      <c r="F203" s="129"/>
      <c r="G203" s="129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hidden="1" customHeight="1" x14ac:dyDescent="0.2">
      <c r="A222" s="213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17.25" hidden="1" customHeight="1" x14ac:dyDescent="0.2">
      <c r="A223" s="276"/>
      <c r="B223" s="962"/>
      <c r="C223" s="962"/>
      <c r="D223" s="962"/>
      <c r="E223" s="962"/>
      <c r="F223" s="962"/>
      <c r="G223" s="962"/>
      <c r="H223" s="962"/>
      <c r="I223" s="962"/>
      <c r="J223" s="962"/>
      <c r="K223" s="962"/>
      <c r="L223" s="962"/>
      <c r="M223" s="962"/>
      <c r="N223" s="962"/>
      <c r="O223" s="962"/>
    </row>
    <row r="224" spans="1:15" ht="21.75" hidden="1" customHeight="1" x14ac:dyDescent="0.2">
      <c r="A224" s="958"/>
      <c r="B224" s="959"/>
      <c r="C224" s="959"/>
      <c r="D224" s="959"/>
      <c r="E224" s="959"/>
      <c r="F224" s="959"/>
      <c r="G224" s="979"/>
      <c r="H224" s="131"/>
      <c r="I224" s="980"/>
      <c r="J224" s="959"/>
      <c r="K224" s="959"/>
      <c r="L224" s="959"/>
      <c r="M224" s="959"/>
      <c r="N224" s="959"/>
      <c r="O224" s="97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63"/>
      <c r="J227" s="964"/>
      <c r="K227" s="964"/>
      <c r="L227" s="964"/>
      <c r="M227" s="964"/>
      <c r="N227" s="964"/>
      <c r="O227" s="96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9"/>
      <c r="B229" s="970"/>
      <c r="C229" s="970"/>
      <c r="D229" s="970"/>
      <c r="E229" s="970"/>
      <c r="F229" s="970"/>
      <c r="G229" s="971"/>
      <c r="H229" s="10"/>
    </row>
    <row r="230" spans="1:15" ht="12.75" hidden="1" x14ac:dyDescent="0.2">
      <c r="A230" s="963"/>
      <c r="B230" s="964"/>
      <c r="C230" s="964"/>
      <c r="D230" s="964"/>
      <c r="E230" s="964"/>
      <c r="F230" s="964"/>
      <c r="G230" s="965"/>
      <c r="H230" s="31"/>
      <c r="I230" s="963"/>
      <c r="J230" s="964"/>
      <c r="K230" s="964"/>
      <c r="L230" s="964"/>
      <c r="M230" s="964"/>
      <c r="N230" s="964"/>
      <c r="O230" s="965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</row>
    <row r="241" spans="1:15" ht="12.75" hidden="1" x14ac:dyDescent="0.2">
      <c r="A241" s="124"/>
      <c r="B241" s="966"/>
      <c r="C241" s="967"/>
      <c r="D241" s="968"/>
      <c r="E241" s="37"/>
      <c r="F241" s="37"/>
      <c r="G241" s="37"/>
      <c r="H241" s="53"/>
      <c r="I241" s="972"/>
      <c r="J241" s="973"/>
      <c r="K241" s="973"/>
      <c r="L241" s="973"/>
      <c r="M241" s="973"/>
      <c r="N241" s="973"/>
      <c r="O241" s="974"/>
    </row>
    <row r="242" spans="1:15" ht="12.75" hidden="1" customHeight="1" x14ac:dyDescent="0.2">
      <c r="A242" s="306"/>
      <c r="B242" s="966"/>
      <c r="C242" s="967"/>
      <c r="D242" s="968"/>
      <c r="E242" s="129"/>
      <c r="F242" s="129"/>
      <c r="G242" s="129"/>
      <c r="H242" s="53"/>
      <c r="I242" s="975"/>
      <c r="J242" s="976"/>
      <c r="K242" s="976"/>
      <c r="L242" s="976"/>
      <c r="M242" s="976"/>
      <c r="N242" s="976"/>
      <c r="O242" s="977"/>
    </row>
    <row r="243" spans="1:15" ht="12.75" hidden="1" x14ac:dyDescent="0.2">
      <c r="A243" s="963"/>
      <c r="B243" s="964"/>
      <c r="C243" s="964"/>
      <c r="D243" s="964"/>
      <c r="E243" s="964"/>
      <c r="F243" s="964"/>
      <c r="G243" s="96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252"/>
      <c r="J246" s="1027"/>
      <c r="K246" s="1028"/>
      <c r="L246" s="1029"/>
      <c r="M246" s="129"/>
      <c r="N246" s="129"/>
      <c r="O246" s="129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8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7"/>
      <c r="K249" s="1028"/>
      <c r="L249" s="1029"/>
      <c r="M249" s="128"/>
      <c r="N249" s="128"/>
      <c r="O249" s="132"/>
    </row>
    <row r="250" spans="1:15" ht="12.75" hidden="1" x14ac:dyDescent="0.2">
      <c r="A250" s="124"/>
      <c r="B250" s="966"/>
      <c r="C250" s="967"/>
      <c r="D250" s="968"/>
      <c r="E250" s="37"/>
      <c r="F250" s="37"/>
      <c r="G250" s="37"/>
      <c r="H250" s="53"/>
      <c r="I250" s="315"/>
      <c r="J250" s="1023"/>
      <c r="K250" s="1023"/>
      <c r="L250" s="102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66"/>
      <c r="C251" s="967"/>
      <c r="D251" s="968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19">
        <f>M225</f>
        <v>0</v>
      </c>
      <c r="J252" s="1008"/>
      <c r="K252" s="1009"/>
      <c r="L252" s="1009"/>
      <c r="M252" s="1009"/>
      <c r="N252" s="1009"/>
      <c r="O252" s="1010"/>
    </row>
    <row r="253" spans="1:15" ht="12.75" hidden="1" x14ac:dyDescent="0.2">
      <c r="A253" s="124"/>
      <c r="B253" s="996"/>
      <c r="C253" s="997"/>
      <c r="D253" s="998"/>
      <c r="E253" s="37"/>
      <c r="F253" s="37"/>
      <c r="G253" s="37"/>
      <c r="H253" s="53"/>
      <c r="I253" s="420"/>
      <c r="J253" s="1011"/>
      <c r="K253" s="1012"/>
      <c r="L253" s="1012"/>
      <c r="M253" s="1012"/>
      <c r="N253" s="1012"/>
      <c r="O253" s="1013"/>
    </row>
    <row r="254" spans="1:15" ht="12.75" hidden="1" x14ac:dyDescent="0.2">
      <c r="A254" s="252"/>
      <c r="B254" s="966"/>
      <c r="C254" s="967"/>
      <c r="D254" s="311"/>
      <c r="E254" s="308"/>
      <c r="F254" s="308"/>
      <c r="G254" s="308"/>
      <c r="H254" s="53"/>
      <c r="I254" s="419">
        <f>N225</f>
        <v>0</v>
      </c>
      <c r="J254" s="1008"/>
      <c r="K254" s="1009"/>
      <c r="L254" s="1009"/>
      <c r="M254" s="1009"/>
      <c r="N254" s="1009"/>
      <c r="O254" s="1010"/>
    </row>
    <row r="255" spans="1:15" ht="12.75" hidden="1" x14ac:dyDescent="0.2">
      <c r="A255" s="124"/>
      <c r="B255" s="999"/>
      <c r="C255" s="1000"/>
      <c r="D255" s="1001"/>
      <c r="E255" s="129"/>
      <c r="F255" s="129"/>
      <c r="G255" s="129"/>
      <c r="H255" s="53"/>
      <c r="I255" s="420"/>
      <c r="J255" s="1014"/>
      <c r="K255" s="1015"/>
      <c r="L255" s="1015"/>
      <c r="M255" s="1015"/>
      <c r="N255" s="1015"/>
      <c r="O255" s="101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1008"/>
      <c r="K256" s="1009"/>
      <c r="L256" s="1009"/>
      <c r="M256" s="1009"/>
      <c r="N256" s="1009"/>
      <c r="O256" s="101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1014"/>
      <c r="K257" s="1015"/>
      <c r="L257" s="1015"/>
      <c r="M257" s="1015"/>
      <c r="N257" s="1015"/>
      <c r="O257" s="101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17.25" hidden="1" customHeight="1" x14ac:dyDescent="0.2">
      <c r="A261" s="276"/>
      <c r="B261" s="962"/>
      <c r="C261" s="962"/>
      <c r="D261" s="962"/>
      <c r="E261" s="962"/>
      <c r="F261" s="962"/>
      <c r="G261" s="962"/>
      <c r="H261" s="962"/>
      <c r="I261" s="962"/>
      <c r="J261" s="962"/>
      <c r="K261" s="962"/>
      <c r="L261" s="962"/>
      <c r="M261" s="962"/>
      <c r="N261" s="962"/>
      <c r="O261" s="962"/>
    </row>
    <row r="262" spans="1:15" ht="22.5" hidden="1" customHeight="1" x14ac:dyDescent="0.2">
      <c r="A262" s="958"/>
      <c r="B262" s="959"/>
      <c r="C262" s="959"/>
      <c r="D262" s="959"/>
      <c r="E262" s="959"/>
      <c r="F262" s="959"/>
      <c r="G262" s="979"/>
      <c r="H262" s="131"/>
      <c r="I262" s="980"/>
      <c r="J262" s="959"/>
      <c r="K262" s="959"/>
      <c r="L262" s="959"/>
      <c r="M262" s="959"/>
      <c r="N262" s="959"/>
      <c r="O262" s="97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63"/>
      <c r="J265" s="964"/>
      <c r="K265" s="964"/>
      <c r="L265" s="964"/>
      <c r="M265" s="964"/>
      <c r="N265" s="964"/>
      <c r="O265" s="96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30"/>
      <c r="B267" s="1031"/>
      <c r="C267" s="1031"/>
      <c r="D267" s="1031"/>
      <c r="E267" s="1031"/>
      <c r="F267" s="1031"/>
      <c r="G267" s="1032"/>
      <c r="H267" s="10"/>
    </row>
    <row r="268" spans="1:15" ht="12.75" hidden="1" x14ac:dyDescent="0.2">
      <c r="A268" s="963"/>
      <c r="B268" s="964"/>
      <c r="C268" s="964"/>
      <c r="D268" s="964"/>
      <c r="E268" s="964"/>
      <c r="F268" s="964"/>
      <c r="G268" s="965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</row>
    <row r="279" spans="1:15" ht="12.75" hidden="1" x14ac:dyDescent="0.2">
      <c r="A279" s="124"/>
      <c r="B279" s="966"/>
      <c r="C279" s="967"/>
      <c r="D279" s="968"/>
      <c r="E279" s="37"/>
      <c r="F279" s="37"/>
      <c r="G279" s="37"/>
      <c r="H279" s="53"/>
      <c r="I279" s="972"/>
      <c r="J279" s="973"/>
      <c r="K279" s="973"/>
      <c r="L279" s="973"/>
      <c r="M279" s="973"/>
      <c r="N279" s="973"/>
      <c r="O279" s="974"/>
    </row>
    <row r="280" spans="1:15" ht="12.75" hidden="1" customHeight="1" x14ac:dyDescent="0.2">
      <c r="A280" s="306"/>
      <c r="B280" s="966"/>
      <c r="C280" s="967"/>
      <c r="D280" s="968"/>
      <c r="E280" s="129"/>
      <c r="F280" s="129"/>
      <c r="G280" s="129"/>
      <c r="H280" s="53"/>
      <c r="I280" s="975"/>
      <c r="J280" s="976"/>
      <c r="K280" s="976"/>
      <c r="L280" s="976"/>
      <c r="M280" s="976"/>
      <c r="N280" s="976"/>
      <c r="O280" s="977"/>
    </row>
    <row r="281" spans="1:15" ht="12.75" hidden="1" x14ac:dyDescent="0.2">
      <c r="A281" s="963"/>
      <c r="B281" s="964"/>
      <c r="C281" s="964"/>
      <c r="D281" s="964"/>
      <c r="E281" s="964"/>
      <c r="F281" s="964"/>
      <c r="G281" s="96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252"/>
      <c r="J284" s="1034"/>
      <c r="K284" s="1035"/>
      <c r="L284" s="1036"/>
      <c r="M284" s="129"/>
      <c r="N284" s="129"/>
      <c r="O284" s="129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8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34"/>
      <c r="K287" s="1035"/>
      <c r="L287" s="1036"/>
      <c r="M287" s="128"/>
      <c r="N287" s="128"/>
      <c r="O287" s="132"/>
    </row>
    <row r="288" spans="1:15" ht="12.75" hidden="1" x14ac:dyDescent="0.2">
      <c r="A288" s="124"/>
      <c r="B288" s="966"/>
      <c r="C288" s="967"/>
      <c r="D288" s="968"/>
      <c r="E288" s="37"/>
      <c r="F288" s="37"/>
      <c r="G288" s="37"/>
      <c r="H288" s="53"/>
      <c r="I288" s="315"/>
      <c r="J288" s="1023"/>
      <c r="K288" s="1023"/>
      <c r="L288" s="102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66"/>
      <c r="C289" s="967"/>
      <c r="D289" s="968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19">
        <f>M263</f>
        <v>0</v>
      </c>
      <c r="J290" s="1008"/>
      <c r="K290" s="1009"/>
      <c r="L290" s="1009"/>
      <c r="M290" s="1009"/>
      <c r="N290" s="1009"/>
      <c r="O290" s="1010"/>
    </row>
    <row r="291" spans="1:15" ht="12.75" hidden="1" x14ac:dyDescent="0.2">
      <c r="A291" s="124"/>
      <c r="B291" s="996"/>
      <c r="C291" s="997"/>
      <c r="D291" s="998"/>
      <c r="E291" s="37"/>
      <c r="F291" s="37"/>
      <c r="G291" s="37"/>
      <c r="H291" s="53"/>
      <c r="I291" s="420"/>
      <c r="J291" s="1011"/>
      <c r="K291" s="1012"/>
      <c r="L291" s="1012"/>
      <c r="M291" s="1012"/>
      <c r="N291" s="1012"/>
      <c r="O291" s="1013"/>
    </row>
    <row r="292" spans="1:15" ht="12.75" hidden="1" x14ac:dyDescent="0.2">
      <c r="A292" s="252"/>
      <c r="B292" s="966"/>
      <c r="C292" s="967"/>
      <c r="D292" s="311"/>
      <c r="E292" s="308"/>
      <c r="F292" s="308"/>
      <c r="G292" s="308"/>
      <c r="H292" s="53"/>
      <c r="I292" s="419">
        <f>N263</f>
        <v>0</v>
      </c>
      <c r="J292" s="1008"/>
      <c r="K292" s="1009"/>
      <c r="L292" s="1009"/>
      <c r="M292" s="1009"/>
      <c r="N292" s="1009"/>
      <c r="O292" s="1010"/>
    </row>
    <row r="293" spans="1:15" ht="12.75" hidden="1" x14ac:dyDescent="0.2">
      <c r="A293" s="124"/>
      <c r="B293" s="999"/>
      <c r="C293" s="1000"/>
      <c r="D293" s="1001"/>
      <c r="E293" s="129"/>
      <c r="F293" s="129"/>
      <c r="G293" s="129"/>
      <c r="H293" s="53"/>
      <c r="I293" s="420"/>
      <c r="J293" s="1014"/>
      <c r="K293" s="1015"/>
      <c r="L293" s="1015"/>
      <c r="M293" s="1015"/>
      <c r="N293" s="1015"/>
      <c r="O293" s="101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1008"/>
      <c r="K294" s="1009"/>
      <c r="L294" s="1009"/>
      <c r="M294" s="1009"/>
      <c r="N294" s="1009"/>
      <c r="O294" s="101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1014"/>
      <c r="K295" s="1015"/>
      <c r="L295" s="1015"/>
      <c r="M295" s="1015"/>
      <c r="N295" s="1015"/>
      <c r="O295" s="1016"/>
    </row>
  </sheetData>
  <sheetProtection algorithmName="SHA-512" hashValue="6GJyBbFQx/PBE+w3+7ZDUwhi5Z7G8MYlIY7WO41VskgeKmjLhpDt4WYm5sTRWAUySKN8sHTJf02KyxuAhNrLFw==" saltValue="I34AsOkf5EzVf7IpoWY0k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zoomScaleNormal="100" workbookViewId="0">
      <selection activeCell="F167" sqref="F167:G16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Fjalori'!A85</f>
        <v>Nënfunksioni 22</v>
      </c>
      <c r="B2" s="860" t="str">
        <f>+VLOOKUP($A2,'(B2) Struktura Organizative'!$A7:$E68,2,FALSE)</f>
        <v>092 Arsimi  parauniversitar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Funksionale'!A114</f>
        <v>Programi 22a</v>
      </c>
      <c r="B6" s="940"/>
      <c r="C6" s="941" t="str">
        <f>VLOOKUP($A6,'(B3) Struktura Funksionale'!$A$7:$E$146,3,FALSE)</f>
        <v>Arsimi i mesëm i përgjithshëm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Transferuar</v>
      </c>
      <c r="M6" s="942"/>
      <c r="N6" s="942"/>
      <c r="O6" s="943"/>
    </row>
    <row r="7" spans="1:15" ht="13.5" hidden="1" customHeight="1" x14ac:dyDescent="0.2">
      <c r="A7" s="939" t="str">
        <f>'(B3) Struktura Funksionale'!A115</f>
        <v>Programi 22b</v>
      </c>
      <c r="B7" s="940"/>
      <c r="C7" s="941" t="str">
        <f>VLOOKUP($A7,'(B3) Struktura Funksionale'!$A$7:$E$146,3,FALSE)</f>
        <v>Pagat e stafit mbështetës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Transferuar</v>
      </c>
      <c r="M7" s="942"/>
      <c r="N7" s="942"/>
      <c r="O7" s="943"/>
    </row>
    <row r="8" spans="1:15" ht="13.5" customHeight="1" x14ac:dyDescent="0.2">
      <c r="A8" s="939" t="str">
        <f>'(B3) Struktura Funksionale'!A116</f>
        <v>Programi 22c</v>
      </c>
      <c r="B8" s="940"/>
      <c r="C8" s="941" t="str">
        <f>VLOOKUP($A8,'(B3) Struktura Funksionale'!$A$7:$E$146,3,FALSE)</f>
        <v>Arsimi profesional</v>
      </c>
      <c r="D8" s="942"/>
      <c r="E8" s="942"/>
      <c r="F8" s="942"/>
      <c r="G8" s="942"/>
      <c r="H8" s="943"/>
      <c r="I8" s="941" t="str">
        <f>VLOOKUP($A8,'(B3) Struktura Funksionale'!$A$7:$E$146,4,FALSE)</f>
        <v>E detyrueshme</v>
      </c>
      <c r="J8" s="942"/>
      <c r="K8" s="943"/>
      <c r="L8" s="941" t="str">
        <f>VLOOKUP($A8,'(B3) Struktura Funksionale'!$A$7:$E$146,5,FALSE)</f>
        <v>I deleguar</v>
      </c>
      <c r="M8" s="942"/>
      <c r="N8" s="942"/>
      <c r="O8" s="943"/>
    </row>
    <row r="9" spans="1:15" ht="13.5" customHeight="1" x14ac:dyDescent="0.2">
      <c r="A9" s="939" t="str">
        <f>'(B3) Struktura Funksionale'!A117</f>
        <v>Programi 22d</v>
      </c>
      <c r="B9" s="940"/>
      <c r="C9" s="941">
        <f>VLOOKUP($A9,'(B3) Struktura Funksionale'!$A$7:$E$146,3,FALSE)</f>
        <v>0</v>
      </c>
      <c r="D9" s="942"/>
      <c r="E9" s="942"/>
      <c r="F9" s="942"/>
      <c r="G9" s="942"/>
      <c r="H9" s="943"/>
      <c r="I9" s="941">
        <f>VLOOKUP($A9,'(B3) Struktura Funksionale'!$A$7:$E$146,4,FALSE)</f>
        <v>0</v>
      </c>
      <c r="J9" s="942"/>
      <c r="K9" s="943"/>
      <c r="L9" s="941">
        <f>VLOOKUP($A9,'(B3) Struktura Funksionale'!$A$7:$E$146,5,FALSE)</f>
        <v>0</v>
      </c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22</v>
      </c>
      <c r="B14" s="962" t="str">
        <f>B$2</f>
        <v>092 Arsimi  parauniversitar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30860</v>
      </c>
      <c r="C18" s="34">
        <f t="shared" si="1"/>
        <v>30860</v>
      </c>
      <c r="D18" s="34">
        <f t="shared" si="1"/>
        <v>30860</v>
      </c>
      <c r="E18" s="129">
        <f t="shared" si="1"/>
        <v>47632</v>
      </c>
      <c r="F18" s="129">
        <f t="shared" si="1"/>
        <v>47632</v>
      </c>
      <c r="G18" s="129">
        <f t="shared" si="1"/>
        <v>47632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30860</v>
      </c>
      <c r="K27" s="34">
        <f>K80+K119+K158+K197+K235+K273</f>
        <v>30860</v>
      </c>
      <c r="L27" s="34">
        <f>L80+L119+L158+L197+L235+L273</f>
        <v>30860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30860</v>
      </c>
      <c r="K29" s="34">
        <f t="shared" si="5"/>
        <v>30860</v>
      </c>
      <c r="L29" s="34">
        <f t="shared" si="5"/>
        <v>30860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47632</v>
      </c>
      <c r="N34" s="18">
        <f t="shared" si="6"/>
        <v>47632</v>
      </c>
      <c r="O34" s="18">
        <f t="shared" si="6"/>
        <v>47632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E89+E128+E167+E206+E244+E282</f>
        <v>28802</v>
      </c>
      <c r="F35" s="305">
        <f t="shared" si="7"/>
        <v>28802</v>
      </c>
      <c r="G35" s="305">
        <f t="shared" si="7"/>
        <v>28802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4806</v>
      </c>
      <c r="F36" s="305">
        <f t="shared" si="7"/>
        <v>4806</v>
      </c>
      <c r="G36" s="305">
        <f t="shared" si="7"/>
        <v>4806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14024</v>
      </c>
      <c r="F37" s="305">
        <f t="shared" si="7"/>
        <v>14024</v>
      </c>
      <c r="G37" s="305">
        <f t="shared" si="7"/>
        <v>14024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47632</v>
      </c>
      <c r="F46" s="129">
        <f t="shared" si="7"/>
        <v>47632</v>
      </c>
      <c r="G46" s="129">
        <f t="shared" si="7"/>
        <v>47632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30860</v>
      </c>
      <c r="C48" s="34">
        <f t="shared" si="11"/>
        <v>30860</v>
      </c>
      <c r="D48" s="34">
        <f t="shared" si="11"/>
        <v>30860</v>
      </c>
      <c r="E48" s="129">
        <f t="shared" si="11"/>
        <v>47632</v>
      </c>
      <c r="F48" s="129">
        <f t="shared" si="11"/>
        <v>47632</v>
      </c>
      <c r="G48" s="129">
        <f t="shared" si="11"/>
        <v>47632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47632</v>
      </c>
      <c r="N52" s="138">
        <f>VLOOKUP($A14,'(D1) Tavanet buxhetore'!$A$7:$R$473,8,FALSE)</f>
        <v>47632</v>
      </c>
      <c r="O52" s="673">
        <f>VLOOKUP($A14,'(D1) Tavanet buxhetore'!$A$7:$R$473,9,FALSE)</f>
        <v>47632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47632</v>
      </c>
      <c r="N53" s="139">
        <f t="shared" ref="N53:O53" si="13">F18</f>
        <v>47632</v>
      </c>
      <c r="O53" s="674">
        <f t="shared" si="13"/>
        <v>47632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33608</v>
      </c>
      <c r="N55" s="138">
        <f>VLOOKUP($A14,'(D1) Tavanet buxhetore'!$A$7:$R$473,11,FALSE)</f>
        <v>33608</v>
      </c>
      <c r="O55" s="673">
        <f>VLOOKUP($A14,'(D1) Tavanet buxhetore'!$A$7:$R$473,12,FALSE)</f>
        <v>33608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33608</v>
      </c>
      <c r="N56" s="139">
        <f t="shared" ref="N56:O56" si="15">F22+F35+F23+F36</f>
        <v>33608</v>
      </c>
      <c r="O56" s="674">
        <f t="shared" si="15"/>
        <v>33608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14024</v>
      </c>
      <c r="N58" s="138">
        <f>VLOOKUP($A14,'(D1) Tavanet buxhetore'!$A$7:$R$473,14,FALSE)</f>
        <v>14024</v>
      </c>
      <c r="O58" s="673">
        <f>VLOOKUP($A14,'(D1) Tavanet buxhetore'!$A$7:$R$473,15,FALSE)</f>
        <v>14024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14024</v>
      </c>
      <c r="N59" s="139">
        <f>N53-N56-N62</f>
        <v>14024</v>
      </c>
      <c r="O59" s="674">
        <f>O53-O56-O62</f>
        <v>14024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62" t="str">
        <f t="shared" si="20"/>
        <v>092 Arsimi  parauniversitar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22a</v>
      </c>
      <c r="B67" s="962" t="str">
        <f>C6</f>
        <v>Arsimi i mesëm i përgjithshëm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Funksionale'!B114</f>
        <v>09230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7896</v>
      </c>
      <c r="C72" s="345">
        <f>VLOOKUP(A67,'(C1) Shpenzimet vitet e kaluara'!A$9:O$177,9,FALSE)</f>
        <v>7896</v>
      </c>
      <c r="D72" s="345">
        <f>VLOOKUP(A67,'(C1) Shpenzimet vitet e kaluara'!A$9:O$177,13,FALSE)</f>
        <v>7896</v>
      </c>
      <c r="E72" s="416">
        <v>13596</v>
      </c>
      <c r="F72" s="416">
        <v>13596</v>
      </c>
      <c r="G72" s="416">
        <v>13596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7896</v>
      </c>
      <c r="K80" s="35">
        <f>VLOOKUP($A67,'(C1) Shpenzimet vitet e kaluara'!$A$9:$O$177,11,FALSE)</f>
        <v>7896</v>
      </c>
      <c r="L80" s="35">
        <f>VLOOKUP($A67,'(C1) Shpenzimet vitet e kaluara'!$A$9:$O$177,15,FALSE)</f>
        <v>7896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7896</v>
      </c>
      <c r="K82" s="34">
        <f>K73+K80</f>
        <v>7896</v>
      </c>
      <c r="L82" s="34">
        <f>L73+L80</f>
        <v>7896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13596</v>
      </c>
      <c r="N88" s="18">
        <f t="shared" si="31"/>
        <v>13596</v>
      </c>
      <c r="O88" s="18">
        <f t="shared" si="31"/>
        <v>13596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8173</v>
      </c>
      <c r="F89" s="37">
        <v>8173</v>
      </c>
      <c r="G89" s="37">
        <v>8173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1366</v>
      </c>
      <c r="F90" s="37">
        <v>1366</v>
      </c>
      <c r="G90" s="37">
        <v>1366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4057</v>
      </c>
      <c r="F91" s="37">
        <v>4057</v>
      </c>
      <c r="G91" s="37">
        <v>4057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13596</v>
      </c>
      <c r="F100" s="129">
        <f t="shared" ref="F100:G100" si="33">SUM(F89:F99)</f>
        <v>13596</v>
      </c>
      <c r="G100" s="129">
        <f t="shared" si="33"/>
        <v>13596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7896</v>
      </c>
      <c r="C102" s="34">
        <f t="shared" ref="C102:D102" si="34">C72</f>
        <v>7896</v>
      </c>
      <c r="D102" s="34">
        <f t="shared" si="34"/>
        <v>7896</v>
      </c>
      <c r="E102" s="129">
        <f>E87+E100</f>
        <v>13596</v>
      </c>
      <c r="F102" s="129">
        <f>F87+F100</f>
        <v>13596</v>
      </c>
      <c r="G102" s="129">
        <f t="shared" ref="G102" si="35">G87+G100</f>
        <v>13596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hidden="1" customHeight="1" x14ac:dyDescent="0.2">
      <c r="A105" s="213" t="str">
        <f t="shared" ref="A105:O105" si="36">A66</f>
        <v>Nënfunksioni 22</v>
      </c>
      <c r="B105" s="962" t="str">
        <f t="shared" si="36"/>
        <v>092 Arsimi  parauniversitar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62" t="str">
        <f>C7</f>
        <v>Pagat e stafit mbështetës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Funksionale'!B115</f>
        <v>09232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hidden="1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37"/>
      <c r="F125" s="37"/>
      <c r="G125" s="37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hidden="1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62" t="str">
        <f t="shared" si="53"/>
        <v>092 Arsimi  parauniversitar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22c</v>
      </c>
      <c r="B145" s="962" t="str">
        <f>C8</f>
        <v>Arsimi profesional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 t="str">
        <f>'(B3) Struktura Funksionale'!B116</f>
        <v>09240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22964</v>
      </c>
      <c r="C150" s="34">
        <f>VLOOKUP(A145,'(C1) Shpenzimet vitet e kaluara'!A$9:O$177,9,FALSE)</f>
        <v>22964</v>
      </c>
      <c r="D150" s="34">
        <f>VLOOKUP(A145,'(C1) Shpenzimet vitet e kaluara'!A$9:O$177,13,FALSE)</f>
        <v>22964</v>
      </c>
      <c r="E150" s="37">
        <v>34036</v>
      </c>
      <c r="F150" s="37">
        <v>34036</v>
      </c>
      <c r="G150" s="37">
        <v>34036</v>
      </c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22964</v>
      </c>
      <c r="K158" s="35">
        <f>VLOOKUP($A145,'(C1) Shpenzimet vitet e kaluara'!$A$9:$O$177,11,FALSE)</f>
        <v>22964</v>
      </c>
      <c r="L158" s="35">
        <f>VLOOKUP($A145,'(C1) Shpenzimet vitet e kaluara'!$A$9:$O$177,15,FALSE)</f>
        <v>22964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22964</v>
      </c>
      <c r="K160" s="34">
        <f>K151+K158</f>
        <v>22964</v>
      </c>
      <c r="L160" s="34">
        <f>L151+L158</f>
        <v>22964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34036</v>
      </c>
      <c r="N166" s="18">
        <f t="shared" si="65"/>
        <v>34036</v>
      </c>
      <c r="O166" s="18">
        <f t="shared" si="65"/>
        <v>34036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>
        <v>20629</v>
      </c>
      <c r="F167" s="37">
        <v>20629</v>
      </c>
      <c r="G167" s="37">
        <v>20629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>
        <v>3440</v>
      </c>
      <c r="F168" s="37">
        <v>3440</v>
      </c>
      <c r="G168" s="37">
        <v>3440</v>
      </c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>
        <v>9967</v>
      </c>
      <c r="F169" s="37">
        <v>9967</v>
      </c>
      <c r="G169" s="37">
        <v>9967</v>
      </c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34036</v>
      </c>
      <c r="F178" s="129">
        <f t="shared" ref="F178:G178" si="67">SUM(F167:F177)</f>
        <v>34036</v>
      </c>
      <c r="G178" s="129">
        <f t="shared" si="67"/>
        <v>34036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22964</v>
      </c>
      <c r="C180" s="34">
        <f t="shared" ref="C180:D180" si="68">C150</f>
        <v>22964</v>
      </c>
      <c r="D180" s="34">
        <f t="shared" si="68"/>
        <v>22964</v>
      </c>
      <c r="E180" s="129">
        <f>E165+E178</f>
        <v>34036</v>
      </c>
      <c r="F180" s="129">
        <f>F165+F178</f>
        <v>34036</v>
      </c>
      <c r="G180" s="129">
        <f t="shared" ref="G180" si="69">G165+G178</f>
        <v>34036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62" t="str">
        <f t="shared" si="70"/>
        <v>092 Arsimi  parauniversitar</v>
      </c>
      <c r="C183" s="962">
        <f t="shared" si="70"/>
        <v>0</v>
      </c>
      <c r="D183" s="962">
        <f t="shared" si="70"/>
        <v>0</v>
      </c>
      <c r="E183" s="962">
        <f t="shared" si="70"/>
        <v>0</v>
      </c>
      <c r="F183" s="962">
        <f t="shared" si="70"/>
        <v>0</v>
      </c>
      <c r="G183" s="962">
        <f t="shared" si="70"/>
        <v>0</v>
      </c>
      <c r="H183" s="962">
        <f t="shared" si="70"/>
        <v>0</v>
      </c>
      <c r="I183" s="962">
        <f t="shared" si="70"/>
        <v>0</v>
      </c>
      <c r="J183" s="962">
        <f t="shared" si="70"/>
        <v>0</v>
      </c>
      <c r="K183" s="962">
        <f t="shared" si="70"/>
        <v>0</v>
      </c>
      <c r="L183" s="962">
        <f t="shared" si="70"/>
        <v>0</v>
      </c>
      <c r="M183" s="962">
        <f t="shared" si="70"/>
        <v>0</v>
      </c>
      <c r="N183" s="962">
        <f t="shared" si="70"/>
        <v>0</v>
      </c>
      <c r="O183" s="962">
        <f t="shared" si="70"/>
        <v>0</v>
      </c>
    </row>
    <row r="184" spans="1:15" ht="18.75" x14ac:dyDescent="0.2">
      <c r="A184" s="276" t="str">
        <f>A9</f>
        <v>Programi 22d</v>
      </c>
      <c r="B184" s="962">
        <f>C9</f>
        <v>0</v>
      </c>
      <c r="C184" s="962" t="e">
        <f>#REF!</f>
        <v>#REF!</v>
      </c>
      <c r="D184" s="962" t="e">
        <f>#REF!</f>
        <v>#REF!</v>
      </c>
      <c r="E184" s="962" t="e">
        <f>#REF!</f>
        <v>#REF!</v>
      </c>
      <c r="F184" s="962" t="e">
        <f>#REF!</f>
        <v>#REF!</v>
      </c>
      <c r="G184" s="962" t="e">
        <f>#REF!</f>
        <v>#REF!</v>
      </c>
      <c r="H184" s="962" t="e">
        <f>#REF!</f>
        <v>#REF!</v>
      </c>
      <c r="I184" s="962" t="e">
        <f>#REF!</f>
        <v>#REF!</v>
      </c>
      <c r="J184" s="962" t="e">
        <f>#REF!</f>
        <v>#REF!</v>
      </c>
      <c r="K184" s="962" t="e">
        <f>#REF!</f>
        <v>#REF!</v>
      </c>
      <c r="L184" s="962" t="e">
        <f>#REF!</f>
        <v>#REF!</v>
      </c>
      <c r="M184" s="962" t="e">
        <f>#REF!</f>
        <v>#REF!</v>
      </c>
      <c r="N184" s="962" t="e">
        <f>#REF!</f>
        <v>#REF!</v>
      </c>
      <c r="O184" s="962" t="e">
        <f>#REF!</f>
        <v>#REF!</v>
      </c>
    </row>
    <row r="185" spans="1:15" ht="18.75" x14ac:dyDescent="0.2">
      <c r="A185" s="647">
        <f>'(B3) Struktura Funksionale'!B117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9" t="str">
        <f t="shared" ref="A186:G186" si="71">A69</f>
        <v>SHPENZIME TË PRITSHME</v>
      </c>
      <c r="B186" s="990">
        <f t="shared" si="71"/>
        <v>0</v>
      </c>
      <c r="C186" s="990">
        <f t="shared" si="71"/>
        <v>0</v>
      </c>
      <c r="D186" s="990">
        <f t="shared" si="71"/>
        <v>0</v>
      </c>
      <c r="E186" s="990">
        <f t="shared" si="71"/>
        <v>0</v>
      </c>
      <c r="F186" s="990">
        <f t="shared" si="71"/>
        <v>0</v>
      </c>
      <c r="G186" s="991">
        <f t="shared" si="71"/>
        <v>0</v>
      </c>
      <c r="H186" s="131"/>
      <c r="I186" s="992" t="str">
        <f t="shared" ref="I186:O186" si="72">I69</f>
        <v xml:space="preserve">TË ARDHURAT E PRITSHME </v>
      </c>
      <c r="J186" s="990">
        <f t="shared" si="72"/>
        <v>0</v>
      </c>
      <c r="K186" s="990">
        <f t="shared" si="72"/>
        <v>0</v>
      </c>
      <c r="L186" s="990">
        <f t="shared" si="72"/>
        <v>0</v>
      </c>
      <c r="M186" s="990">
        <f t="shared" si="72"/>
        <v>0</v>
      </c>
      <c r="N186" s="990">
        <f t="shared" si="72"/>
        <v>0</v>
      </c>
      <c r="O186" s="991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87"/>
      <c r="K188" s="987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63" t="str">
        <f t="shared" ref="I189:O189" si="75">I72</f>
        <v>VLERËSIM I ARDHURAVE NGA TARIFAT</v>
      </c>
      <c r="J189" s="964">
        <f t="shared" si="75"/>
        <v>0</v>
      </c>
      <c r="K189" s="964">
        <f t="shared" si="75"/>
        <v>0</v>
      </c>
      <c r="L189" s="964">
        <f t="shared" si="75"/>
        <v>0</v>
      </c>
      <c r="M189" s="964">
        <f t="shared" si="75"/>
        <v>0</v>
      </c>
      <c r="N189" s="964">
        <f t="shared" si="75"/>
        <v>0</v>
      </c>
      <c r="O189" s="965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9" t="str">
        <f t="shared" ref="A191:G192" si="76">A74</f>
        <v>SHPENZIME TË PRITSHME</v>
      </c>
      <c r="B191" s="970">
        <f t="shared" si="76"/>
        <v>0</v>
      </c>
      <c r="C191" s="970">
        <f t="shared" si="76"/>
        <v>0</v>
      </c>
      <c r="D191" s="970">
        <f t="shared" si="76"/>
        <v>0</v>
      </c>
      <c r="E191" s="970">
        <f t="shared" si="76"/>
        <v>0</v>
      </c>
      <c r="F191" s="970">
        <f t="shared" si="76"/>
        <v>0</v>
      </c>
      <c r="G191" s="971">
        <f t="shared" si="76"/>
        <v>0</v>
      </c>
      <c r="H191" s="10"/>
    </row>
    <row r="192" spans="1:15" ht="12.75" x14ac:dyDescent="0.2">
      <c r="A192" s="963" t="str">
        <f t="shared" si="76"/>
        <v>KOSTO DIREKTE PËR PROJEKTET DHE SHPENZIMET KAPITALE</v>
      </c>
      <c r="B192" s="964">
        <f t="shared" si="76"/>
        <v>0</v>
      </c>
      <c r="C192" s="964">
        <f t="shared" si="76"/>
        <v>0</v>
      </c>
      <c r="D192" s="964">
        <f t="shared" si="76"/>
        <v>0</v>
      </c>
      <c r="E192" s="964">
        <f t="shared" si="76"/>
        <v>0</v>
      </c>
      <c r="F192" s="964">
        <f t="shared" si="76"/>
        <v>0</v>
      </c>
      <c r="G192" s="965">
        <f t="shared" si="76"/>
        <v>0</v>
      </c>
      <c r="H192" s="31"/>
      <c r="I192" s="963" t="str">
        <f t="shared" ref="I192:I197" si="77">I75</f>
        <v>VLERËSIMI I TË ARDHURAVE ME DESTINACION</v>
      </c>
      <c r="J192" s="964"/>
      <c r="K192" s="964"/>
      <c r="L192" s="964"/>
      <c r="M192" s="964"/>
      <c r="N192" s="964"/>
      <c r="O192" s="965"/>
    </row>
    <row r="193" spans="1:15" ht="12.75" x14ac:dyDescent="0.2">
      <c r="A193" s="124" t="str">
        <f t="shared" ref="A193:D215" si="78">A76</f>
        <v>Pagat</v>
      </c>
      <c r="B193" s="966">
        <f t="shared" si="78"/>
        <v>600</v>
      </c>
      <c r="C193" s="967">
        <f t="shared" si="78"/>
        <v>0</v>
      </c>
      <c r="D193" s="968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66">
        <f t="shared" si="78"/>
        <v>601</v>
      </c>
      <c r="C194" s="967">
        <f t="shared" si="78"/>
        <v>0</v>
      </c>
      <c r="D194" s="968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66">
        <f t="shared" si="78"/>
        <v>602</v>
      </c>
      <c r="C195" s="967">
        <f t="shared" si="78"/>
        <v>0</v>
      </c>
      <c r="D195" s="968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8">
        <f>VLOOKUP($A184,'(C4) Trashëgimi me destinacion'!$A$8:$F$168,5,FALSE)</f>
        <v>0</v>
      </c>
      <c r="O195" s="548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66">
        <f t="shared" si="78"/>
        <v>603</v>
      </c>
      <c r="C196" s="967">
        <f t="shared" si="78"/>
        <v>0</v>
      </c>
      <c r="D196" s="968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66">
        <f t="shared" si="78"/>
        <v>604</v>
      </c>
      <c r="C197" s="967">
        <f t="shared" si="78"/>
        <v>0</v>
      </c>
      <c r="D197" s="968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66">
        <f t="shared" si="78"/>
        <v>605</v>
      </c>
      <c r="C198" s="967">
        <f t="shared" si="78"/>
        <v>0</v>
      </c>
      <c r="D198" s="968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66">
        <f t="shared" si="78"/>
        <v>606</v>
      </c>
      <c r="C199" s="967">
        <f t="shared" si="78"/>
        <v>0</v>
      </c>
      <c r="D199" s="968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66" t="str">
        <f t="shared" si="78"/>
        <v>230 / 231</v>
      </c>
      <c r="C200" s="967">
        <f t="shared" si="78"/>
        <v>0</v>
      </c>
      <c r="D200" s="968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66">
        <f t="shared" si="78"/>
        <v>609</v>
      </c>
      <c r="C201" s="967">
        <f t="shared" si="78"/>
        <v>0</v>
      </c>
      <c r="D201" s="968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66">
        <f t="shared" si="78"/>
        <v>650</v>
      </c>
      <c r="C202" s="967">
        <f t="shared" si="78"/>
        <v>0</v>
      </c>
      <c r="D202" s="968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66" t="str">
        <f t="shared" si="78"/>
        <v>69 / ?</v>
      </c>
      <c r="C203" s="967">
        <f t="shared" si="78"/>
        <v>0</v>
      </c>
      <c r="D203" s="968">
        <f t="shared" si="78"/>
        <v>0</v>
      </c>
      <c r="E203" s="129"/>
      <c r="F203" s="129"/>
      <c r="G203" s="129"/>
      <c r="H203" s="53"/>
      <c r="I203" s="972" t="str">
        <f t="shared" ref="I203:O204" si="80">I86</f>
        <v>SHUMA E KËRKUAR NETO</v>
      </c>
      <c r="J203" s="973">
        <f t="shared" si="80"/>
        <v>0</v>
      </c>
      <c r="K203" s="973">
        <f t="shared" si="80"/>
        <v>0</v>
      </c>
      <c r="L203" s="973">
        <f t="shared" si="80"/>
        <v>0</v>
      </c>
      <c r="M203" s="973">
        <f t="shared" si="80"/>
        <v>0</v>
      </c>
      <c r="N203" s="973">
        <f t="shared" si="80"/>
        <v>0</v>
      </c>
      <c r="O203" s="974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66">
        <f t="shared" si="78"/>
        <v>0</v>
      </c>
      <c r="C204" s="967">
        <f t="shared" si="78"/>
        <v>0</v>
      </c>
      <c r="D204" s="968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75">
        <f t="shared" si="80"/>
        <v>0</v>
      </c>
      <c r="J204" s="976">
        <f t="shared" si="80"/>
        <v>0</v>
      </c>
      <c r="K204" s="976">
        <f t="shared" si="80"/>
        <v>0</v>
      </c>
      <c r="L204" s="976">
        <f t="shared" si="80"/>
        <v>0</v>
      </c>
      <c r="M204" s="976">
        <f t="shared" si="80"/>
        <v>0</v>
      </c>
      <c r="N204" s="976">
        <f t="shared" si="80"/>
        <v>0</v>
      </c>
      <c r="O204" s="977">
        <f t="shared" si="80"/>
        <v>0</v>
      </c>
    </row>
    <row r="205" spans="1:15" ht="12.75" x14ac:dyDescent="0.2">
      <c r="A205" s="963" t="str">
        <f t="shared" si="78"/>
        <v>SHPENZIME KORRENTE</v>
      </c>
      <c r="B205" s="964">
        <f t="shared" si="78"/>
        <v>0</v>
      </c>
      <c r="C205" s="964">
        <f t="shared" si="78"/>
        <v>0</v>
      </c>
      <c r="D205" s="964">
        <f t="shared" si="78"/>
        <v>0</v>
      </c>
      <c r="E205" s="964">
        <f>E88</f>
        <v>0</v>
      </c>
      <c r="F205" s="964">
        <f>F88</f>
        <v>0</v>
      </c>
      <c r="G205" s="965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66">
        <f t="shared" si="78"/>
        <v>600</v>
      </c>
      <c r="C206" s="967">
        <f t="shared" si="78"/>
        <v>0</v>
      </c>
      <c r="D206" s="968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66">
        <f t="shared" si="78"/>
        <v>601</v>
      </c>
      <c r="C207" s="967">
        <f t="shared" si="78"/>
        <v>0</v>
      </c>
      <c r="D207" s="968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66">
        <f t="shared" si="78"/>
        <v>602</v>
      </c>
      <c r="C208" s="967">
        <f t="shared" si="78"/>
        <v>0</v>
      </c>
      <c r="D208" s="968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27" t="str">
        <f>J169</f>
        <v>Vlera Totale për Aktivitet</v>
      </c>
      <c r="K208" s="1028"/>
      <c r="L208" s="10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66">
        <f t="shared" si="78"/>
        <v>603</v>
      </c>
      <c r="C209" s="967">
        <f t="shared" si="78"/>
        <v>0</v>
      </c>
      <c r="D209" s="968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27" t="str">
        <f>J170</f>
        <v>Shpenzimet kapitale</v>
      </c>
      <c r="K209" s="1028"/>
      <c r="L209" s="10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66">
        <f t="shared" si="78"/>
        <v>604</v>
      </c>
      <c r="C210" s="967">
        <f t="shared" si="78"/>
        <v>0</v>
      </c>
      <c r="D210" s="968">
        <f t="shared" si="78"/>
        <v>0</v>
      </c>
      <c r="E210" s="37"/>
      <c r="F210" s="37"/>
      <c r="G210" s="37"/>
      <c r="H210" s="53"/>
      <c r="I210" s="315"/>
      <c r="J210" s="1027" t="str">
        <f>J171</f>
        <v>Mallra dhe shërbime</v>
      </c>
      <c r="K210" s="1028"/>
      <c r="L210" s="10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66">
        <f t="shared" si="78"/>
        <v>605</v>
      </c>
      <c r="C211" s="967">
        <f t="shared" si="78"/>
        <v>0</v>
      </c>
      <c r="D211" s="968">
        <f t="shared" si="78"/>
        <v>0</v>
      </c>
      <c r="E211" s="37"/>
      <c r="F211" s="37"/>
      <c r="G211" s="37"/>
      <c r="H211" s="53"/>
      <c r="I211" s="315"/>
      <c r="J211" s="1027" t="str">
        <f>J172</f>
        <v>Qëllime të mëtejshme</v>
      </c>
      <c r="K211" s="1028"/>
      <c r="L211" s="10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66">
        <f t="shared" si="78"/>
        <v>606</v>
      </c>
      <c r="C212" s="967">
        <f t="shared" si="78"/>
        <v>0</v>
      </c>
      <c r="D212" s="968">
        <f t="shared" si="78"/>
        <v>0</v>
      </c>
      <c r="E212" s="37"/>
      <c r="F212" s="37"/>
      <c r="G212" s="37"/>
      <c r="H212" s="53"/>
      <c r="I212" s="315"/>
      <c r="J212" s="1023"/>
      <c r="K212" s="1023"/>
      <c r="L212" s="1023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93" t="str">
        <f t="shared" si="78"/>
        <v>230 / 231</v>
      </c>
      <c r="C213" s="994">
        <f t="shared" si="78"/>
        <v>0</v>
      </c>
      <c r="D213" s="995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66">
        <f t="shared" si="78"/>
        <v>609</v>
      </c>
      <c r="C214" s="967">
        <f t="shared" si="78"/>
        <v>0</v>
      </c>
      <c r="D214" s="968">
        <f t="shared" si="78"/>
        <v>0</v>
      </c>
      <c r="E214" s="37"/>
      <c r="F214" s="37"/>
      <c r="G214" s="37"/>
      <c r="H214" s="53"/>
      <c r="I214" s="419">
        <f>M187</f>
        <v>2022</v>
      </c>
      <c r="J214" s="1008"/>
      <c r="K214" s="1009"/>
      <c r="L214" s="1009"/>
      <c r="M214" s="1009"/>
      <c r="N214" s="1009"/>
      <c r="O214" s="1010"/>
    </row>
    <row r="215" spans="1:15" ht="12.75" x14ac:dyDescent="0.2">
      <c r="A215" s="124" t="str">
        <f t="shared" si="78"/>
        <v>Interesa per kredi direkte ose bono</v>
      </c>
      <c r="B215" s="996">
        <f t="shared" si="78"/>
        <v>650</v>
      </c>
      <c r="C215" s="997">
        <f t="shared" si="78"/>
        <v>0</v>
      </c>
      <c r="D215" s="998">
        <f t="shared" si="78"/>
        <v>0</v>
      </c>
      <c r="E215" s="37"/>
      <c r="F215" s="37"/>
      <c r="G215" s="37"/>
      <c r="H215" s="53"/>
      <c r="I215" s="420"/>
      <c r="J215" s="1011"/>
      <c r="K215" s="1012"/>
      <c r="L215" s="1012"/>
      <c r="M215" s="1012"/>
      <c r="N215" s="1012"/>
      <c r="O215" s="1013"/>
    </row>
    <row r="216" spans="1:15" ht="12.75" x14ac:dyDescent="0.2">
      <c r="A216" s="252" t="str">
        <f>A99</f>
        <v>Të tjera</v>
      </c>
      <c r="B216" s="966" t="str">
        <f>B99</f>
        <v>69 / ?</v>
      </c>
      <c r="C216" s="967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1008"/>
      <c r="K216" s="1009"/>
      <c r="L216" s="1009"/>
      <c r="M216" s="1009"/>
      <c r="N216" s="1009"/>
      <c r="O216" s="1010"/>
    </row>
    <row r="217" spans="1:15" ht="12.75" x14ac:dyDescent="0.2">
      <c r="A217" s="124" t="str">
        <f>A100</f>
        <v>SHPENZIME KORRENTE</v>
      </c>
      <c r="B217" s="999"/>
      <c r="C217" s="1000"/>
      <c r="D217" s="100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1014"/>
      <c r="K217" s="1015"/>
      <c r="L217" s="1015"/>
      <c r="M217" s="1015"/>
      <c r="N217" s="1015"/>
      <c r="O217" s="1016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1008"/>
      <c r="K218" s="1009"/>
      <c r="L218" s="1009"/>
      <c r="M218" s="1009"/>
      <c r="N218" s="1009"/>
      <c r="O218" s="1010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1014"/>
      <c r="K219" s="1015"/>
      <c r="L219" s="1015"/>
      <c r="M219" s="1015"/>
      <c r="N219" s="1015"/>
      <c r="O219" s="1016"/>
    </row>
    <row r="222" spans="1:15" ht="17.25" hidden="1" customHeight="1" x14ac:dyDescent="0.2">
      <c r="A222" s="213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17.25" hidden="1" customHeight="1" x14ac:dyDescent="0.2">
      <c r="A223" s="276"/>
      <c r="B223" s="962"/>
      <c r="C223" s="962"/>
      <c r="D223" s="962"/>
      <c r="E223" s="962"/>
      <c r="F223" s="962"/>
      <c r="G223" s="962"/>
      <c r="H223" s="962"/>
      <c r="I223" s="962"/>
      <c r="J223" s="962"/>
      <c r="K223" s="962"/>
      <c r="L223" s="962"/>
      <c r="M223" s="962"/>
      <c r="N223" s="962"/>
      <c r="O223" s="962"/>
    </row>
    <row r="224" spans="1:15" ht="21.75" hidden="1" customHeight="1" x14ac:dyDescent="0.2">
      <c r="A224" s="958"/>
      <c r="B224" s="959"/>
      <c r="C224" s="959"/>
      <c r="D224" s="959"/>
      <c r="E224" s="959"/>
      <c r="F224" s="959"/>
      <c r="G224" s="979"/>
      <c r="H224" s="131"/>
      <c r="I224" s="980"/>
      <c r="J224" s="959"/>
      <c r="K224" s="959"/>
      <c r="L224" s="959"/>
      <c r="M224" s="959"/>
      <c r="N224" s="959"/>
      <c r="O224" s="97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63"/>
      <c r="J227" s="964"/>
      <c r="K227" s="964"/>
      <c r="L227" s="964"/>
      <c r="M227" s="964"/>
      <c r="N227" s="964"/>
      <c r="O227" s="965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9"/>
      <c r="B229" s="970"/>
      <c r="C229" s="970"/>
      <c r="D229" s="970"/>
      <c r="E229" s="970"/>
      <c r="F229" s="970"/>
      <c r="G229" s="971"/>
      <c r="H229" s="10"/>
    </row>
    <row r="230" spans="1:15" ht="12.75" hidden="1" x14ac:dyDescent="0.2">
      <c r="A230" s="963"/>
      <c r="B230" s="964"/>
      <c r="C230" s="964"/>
      <c r="D230" s="964"/>
      <c r="E230" s="964"/>
      <c r="F230" s="964"/>
      <c r="G230" s="965"/>
      <c r="H230" s="31"/>
      <c r="I230" s="963"/>
      <c r="J230" s="964"/>
      <c r="K230" s="964"/>
      <c r="L230" s="964"/>
      <c r="M230" s="964"/>
      <c r="N230" s="964"/>
      <c r="O230" s="965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53"/>
      <c r="I233" s="390"/>
      <c r="J233" s="387"/>
      <c r="K233" s="389"/>
      <c r="L233" s="388"/>
      <c r="M233" s="302"/>
      <c r="N233" s="548"/>
      <c r="O233" s="550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</row>
    <row r="241" spans="1:15" ht="12.75" hidden="1" x14ac:dyDescent="0.2">
      <c r="A241" s="124"/>
      <c r="B241" s="966"/>
      <c r="C241" s="967"/>
      <c r="D241" s="968"/>
      <c r="E241" s="37"/>
      <c r="F241" s="37"/>
      <c r="G241" s="37"/>
      <c r="H241" s="53"/>
      <c r="I241" s="972"/>
      <c r="J241" s="973"/>
      <c r="K241" s="973"/>
      <c r="L241" s="973"/>
      <c r="M241" s="973"/>
      <c r="N241" s="973"/>
      <c r="O241" s="974"/>
    </row>
    <row r="242" spans="1:15" ht="12.75" hidden="1" customHeight="1" x14ac:dyDescent="0.2">
      <c r="A242" s="306"/>
      <c r="B242" s="966"/>
      <c r="C242" s="967"/>
      <c r="D242" s="968"/>
      <c r="E242" s="129"/>
      <c r="F242" s="129"/>
      <c r="G242" s="129"/>
      <c r="H242" s="53"/>
      <c r="I242" s="975"/>
      <c r="J242" s="976"/>
      <c r="K242" s="976"/>
      <c r="L242" s="976"/>
      <c r="M242" s="976"/>
      <c r="N242" s="976"/>
      <c r="O242" s="977"/>
    </row>
    <row r="243" spans="1:15" ht="12.75" hidden="1" x14ac:dyDescent="0.2">
      <c r="A243" s="963"/>
      <c r="B243" s="964"/>
      <c r="C243" s="964"/>
      <c r="D243" s="964"/>
      <c r="E243" s="964"/>
      <c r="F243" s="964"/>
      <c r="G243" s="965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252"/>
      <c r="J246" s="1027"/>
      <c r="K246" s="1028"/>
      <c r="L246" s="1029"/>
      <c r="M246" s="129"/>
      <c r="N246" s="129"/>
      <c r="O246" s="129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8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7"/>
      <c r="K249" s="1028"/>
      <c r="L249" s="1029"/>
      <c r="M249" s="128"/>
      <c r="N249" s="128"/>
      <c r="O249" s="132"/>
    </row>
    <row r="250" spans="1:15" ht="12.75" hidden="1" x14ac:dyDescent="0.2">
      <c r="A250" s="124"/>
      <c r="B250" s="966"/>
      <c r="C250" s="967"/>
      <c r="D250" s="968"/>
      <c r="E250" s="37"/>
      <c r="F250" s="37"/>
      <c r="G250" s="37"/>
      <c r="H250" s="53"/>
      <c r="I250" s="315"/>
      <c r="J250" s="1023"/>
      <c r="K250" s="1023"/>
      <c r="L250" s="1023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66"/>
      <c r="C251" s="967"/>
      <c r="D251" s="968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66"/>
      <c r="C252" s="967"/>
      <c r="D252" s="968"/>
      <c r="E252" s="37"/>
      <c r="F252" s="37"/>
      <c r="G252" s="37"/>
      <c r="H252" s="53"/>
      <c r="I252" s="419">
        <f>M225</f>
        <v>0</v>
      </c>
      <c r="J252" s="1008"/>
      <c r="K252" s="1009"/>
      <c r="L252" s="1009"/>
      <c r="M252" s="1009"/>
      <c r="N252" s="1009"/>
      <c r="O252" s="1010"/>
    </row>
    <row r="253" spans="1:15" ht="12.75" hidden="1" x14ac:dyDescent="0.2">
      <c r="A253" s="124"/>
      <c r="B253" s="996"/>
      <c r="C253" s="997"/>
      <c r="D253" s="998"/>
      <c r="E253" s="37"/>
      <c r="F253" s="37"/>
      <c r="G253" s="37"/>
      <c r="H253" s="53"/>
      <c r="I253" s="420"/>
      <c r="J253" s="1011"/>
      <c r="K253" s="1012"/>
      <c r="L253" s="1012"/>
      <c r="M253" s="1012"/>
      <c r="N253" s="1012"/>
      <c r="O253" s="1013"/>
    </row>
    <row r="254" spans="1:15" ht="12.75" hidden="1" x14ac:dyDescent="0.2">
      <c r="A254" s="252"/>
      <c r="B254" s="966"/>
      <c r="C254" s="967"/>
      <c r="D254" s="311"/>
      <c r="E254" s="308"/>
      <c r="F254" s="308"/>
      <c r="G254" s="308"/>
      <c r="H254" s="53"/>
      <c r="I254" s="419">
        <f>N225</f>
        <v>0</v>
      </c>
      <c r="J254" s="1008"/>
      <c r="K254" s="1009"/>
      <c r="L254" s="1009"/>
      <c r="M254" s="1009"/>
      <c r="N254" s="1009"/>
      <c r="O254" s="1010"/>
    </row>
    <row r="255" spans="1:15" ht="12.75" hidden="1" x14ac:dyDescent="0.2">
      <c r="A255" s="124"/>
      <c r="B255" s="999"/>
      <c r="C255" s="1000"/>
      <c r="D255" s="1001"/>
      <c r="E255" s="129"/>
      <c r="F255" s="129"/>
      <c r="G255" s="129"/>
      <c r="H255" s="53"/>
      <c r="I255" s="420"/>
      <c r="J255" s="1014"/>
      <c r="K255" s="1015"/>
      <c r="L255" s="1015"/>
      <c r="M255" s="1015"/>
      <c r="N255" s="1015"/>
      <c r="O255" s="1016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1008"/>
      <c r="K256" s="1009"/>
      <c r="L256" s="1009"/>
      <c r="M256" s="1009"/>
      <c r="N256" s="1009"/>
      <c r="O256" s="1010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1014"/>
      <c r="K257" s="1015"/>
      <c r="L257" s="1015"/>
      <c r="M257" s="1015"/>
      <c r="N257" s="1015"/>
      <c r="O257" s="1016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17.25" hidden="1" customHeight="1" x14ac:dyDescent="0.2">
      <c r="A261" s="276"/>
      <c r="B261" s="962"/>
      <c r="C261" s="962"/>
      <c r="D261" s="962"/>
      <c r="E261" s="962"/>
      <c r="F261" s="962"/>
      <c r="G261" s="962"/>
      <c r="H261" s="962"/>
      <c r="I261" s="962"/>
      <c r="J261" s="962"/>
      <c r="K261" s="962"/>
      <c r="L261" s="962"/>
      <c r="M261" s="962"/>
      <c r="N261" s="962"/>
      <c r="O261" s="962"/>
    </row>
    <row r="262" spans="1:15" ht="22.5" hidden="1" customHeight="1" x14ac:dyDescent="0.2">
      <c r="A262" s="958"/>
      <c r="B262" s="959"/>
      <c r="C262" s="959"/>
      <c r="D262" s="959"/>
      <c r="E262" s="959"/>
      <c r="F262" s="959"/>
      <c r="G262" s="979"/>
      <c r="H262" s="131"/>
      <c r="I262" s="980"/>
      <c r="J262" s="959"/>
      <c r="K262" s="959"/>
      <c r="L262" s="959"/>
      <c r="M262" s="959"/>
      <c r="N262" s="959"/>
      <c r="O262" s="97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63"/>
      <c r="J265" s="964"/>
      <c r="K265" s="964"/>
      <c r="L265" s="964"/>
      <c r="M265" s="964"/>
      <c r="N265" s="964"/>
      <c r="O265" s="965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30"/>
      <c r="B267" s="1031"/>
      <c r="C267" s="1031"/>
      <c r="D267" s="1031"/>
      <c r="E267" s="1031"/>
      <c r="F267" s="1031"/>
      <c r="G267" s="1032"/>
      <c r="H267" s="10"/>
    </row>
    <row r="268" spans="1:15" ht="12.75" hidden="1" x14ac:dyDescent="0.2">
      <c r="A268" s="963"/>
      <c r="B268" s="964"/>
      <c r="C268" s="964"/>
      <c r="D268" s="964"/>
      <c r="E268" s="964"/>
      <c r="F268" s="964"/>
      <c r="G268" s="965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53"/>
      <c r="I271" s="390"/>
      <c r="J271" s="387"/>
      <c r="K271" s="389"/>
      <c r="L271" s="388"/>
      <c r="M271" s="302"/>
      <c r="N271" s="548"/>
      <c r="O271" s="548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</row>
    <row r="279" spans="1:15" ht="12.75" hidden="1" x14ac:dyDescent="0.2">
      <c r="A279" s="124"/>
      <c r="B279" s="966"/>
      <c r="C279" s="967"/>
      <c r="D279" s="968"/>
      <c r="E279" s="37"/>
      <c r="F279" s="37"/>
      <c r="G279" s="37"/>
      <c r="H279" s="53"/>
      <c r="I279" s="972"/>
      <c r="J279" s="973"/>
      <c r="K279" s="973"/>
      <c r="L279" s="973"/>
      <c r="M279" s="973"/>
      <c r="N279" s="973"/>
      <c r="O279" s="974"/>
    </row>
    <row r="280" spans="1:15" ht="12.75" hidden="1" customHeight="1" x14ac:dyDescent="0.2">
      <c r="A280" s="306"/>
      <c r="B280" s="966"/>
      <c r="C280" s="967"/>
      <c r="D280" s="968"/>
      <c r="E280" s="129"/>
      <c r="F280" s="129"/>
      <c r="G280" s="129"/>
      <c r="H280" s="53"/>
      <c r="I280" s="975"/>
      <c r="J280" s="976"/>
      <c r="K280" s="976"/>
      <c r="L280" s="976"/>
      <c r="M280" s="976"/>
      <c r="N280" s="976"/>
      <c r="O280" s="977"/>
    </row>
    <row r="281" spans="1:15" ht="12.75" hidden="1" x14ac:dyDescent="0.2">
      <c r="A281" s="963"/>
      <c r="B281" s="964"/>
      <c r="C281" s="964"/>
      <c r="D281" s="964"/>
      <c r="E281" s="964"/>
      <c r="F281" s="964"/>
      <c r="G281" s="965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252"/>
      <c r="J284" s="1034"/>
      <c r="K284" s="1035"/>
      <c r="L284" s="1036"/>
      <c r="M284" s="129"/>
      <c r="N284" s="129"/>
      <c r="O284" s="129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8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34"/>
      <c r="K287" s="1035"/>
      <c r="L287" s="1036"/>
      <c r="M287" s="128"/>
      <c r="N287" s="128"/>
      <c r="O287" s="132"/>
    </row>
    <row r="288" spans="1:15" ht="12.75" hidden="1" x14ac:dyDescent="0.2">
      <c r="A288" s="124"/>
      <c r="B288" s="966"/>
      <c r="C288" s="967"/>
      <c r="D288" s="968"/>
      <c r="E288" s="37"/>
      <c r="F288" s="37"/>
      <c r="G288" s="37"/>
      <c r="H288" s="53"/>
      <c r="I288" s="315"/>
      <c r="J288" s="1023"/>
      <c r="K288" s="1023"/>
      <c r="L288" s="1023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66"/>
      <c r="C289" s="967"/>
      <c r="D289" s="968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66"/>
      <c r="C290" s="967"/>
      <c r="D290" s="968"/>
      <c r="E290" s="37"/>
      <c r="F290" s="37"/>
      <c r="G290" s="37"/>
      <c r="H290" s="53"/>
      <c r="I290" s="419">
        <f>M263</f>
        <v>0</v>
      </c>
      <c r="J290" s="1008"/>
      <c r="K290" s="1009"/>
      <c r="L290" s="1009"/>
      <c r="M290" s="1009"/>
      <c r="N290" s="1009"/>
      <c r="O290" s="1010"/>
    </row>
    <row r="291" spans="1:15" ht="12.75" hidden="1" x14ac:dyDescent="0.2">
      <c r="A291" s="124"/>
      <c r="B291" s="996"/>
      <c r="C291" s="997"/>
      <c r="D291" s="998"/>
      <c r="E291" s="37"/>
      <c r="F291" s="37"/>
      <c r="G291" s="37"/>
      <c r="H291" s="53"/>
      <c r="I291" s="420"/>
      <c r="J291" s="1011"/>
      <c r="K291" s="1012"/>
      <c r="L291" s="1012"/>
      <c r="M291" s="1012"/>
      <c r="N291" s="1012"/>
      <c r="O291" s="1013"/>
    </row>
    <row r="292" spans="1:15" ht="12.75" hidden="1" x14ac:dyDescent="0.2">
      <c r="A292" s="252"/>
      <c r="B292" s="966"/>
      <c r="C292" s="967"/>
      <c r="D292" s="311"/>
      <c r="E292" s="308"/>
      <c r="F292" s="308"/>
      <c r="G292" s="308"/>
      <c r="H292" s="53"/>
      <c r="I292" s="419">
        <f>N263</f>
        <v>0</v>
      </c>
      <c r="J292" s="1008"/>
      <c r="K292" s="1009"/>
      <c r="L292" s="1009"/>
      <c r="M292" s="1009"/>
      <c r="N292" s="1009"/>
      <c r="O292" s="1010"/>
    </row>
    <row r="293" spans="1:15" ht="12.75" hidden="1" x14ac:dyDescent="0.2">
      <c r="A293" s="124"/>
      <c r="B293" s="999"/>
      <c r="C293" s="1000"/>
      <c r="D293" s="1001"/>
      <c r="E293" s="129"/>
      <c r="F293" s="129"/>
      <c r="G293" s="129"/>
      <c r="H293" s="53"/>
      <c r="I293" s="420"/>
      <c r="J293" s="1014"/>
      <c r="K293" s="1015"/>
      <c r="L293" s="1015"/>
      <c r="M293" s="1015"/>
      <c r="N293" s="1015"/>
      <c r="O293" s="1016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1008"/>
      <c r="K294" s="1009"/>
      <c r="L294" s="1009"/>
      <c r="M294" s="1009"/>
      <c r="N294" s="1009"/>
      <c r="O294" s="1010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1014"/>
      <c r="K295" s="1015"/>
      <c r="L295" s="1015"/>
      <c r="M295" s="1015"/>
      <c r="N295" s="1015"/>
      <c r="O295" s="1016"/>
    </row>
  </sheetData>
  <sheetProtection algorithmName="SHA-512" hashValue="R3XWZZzsU8lz5IivYPJOFD/zP8zDfFrWsorRfvkfYf1V8EIquADcKuxBE1MV3qFED6wALXeJ8Vv4kpV//LJC4A==" saltValue="DGwIo8+ZwFUYZg6rLPMNc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105" zoomScaleNormal="100" workbookViewId="0">
      <selection activeCell="F72" sqref="F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Fjalori'!A87</f>
        <v>Nënfunksioni 23</v>
      </c>
      <c r="B2" s="860" t="str">
        <f>+VLOOKUP($A2,'(B2) Struktura Organizative'!$A7:$E68,2,FALSE)</f>
        <v>101 Sëmundje dhe paaftësi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Funksionale'!A124</f>
        <v>Programi 24a</v>
      </c>
      <c r="B6" s="940"/>
      <c r="C6" s="941" t="str">
        <f>VLOOKUP($A6,'(B3) Struktura Funksionale'!$A$7:$E$146,3,FALSE)</f>
        <v>Kujdesi social për personat e sëmurë dhe me aftësi të kufizuara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Funksionale'!A125</f>
        <v>Programi 24b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Funksionale'!A126</f>
        <v>Programi 24c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23</v>
      </c>
      <c r="B14" s="962" t="str">
        <f>B$2</f>
        <v>101 Sëmundje dhe paaftësi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360479</v>
      </c>
      <c r="C18" s="34">
        <f t="shared" si="1"/>
        <v>554706</v>
      </c>
      <c r="D18" s="34">
        <f t="shared" si="1"/>
        <v>598734</v>
      </c>
      <c r="E18" s="129">
        <f t="shared" si="1"/>
        <v>340244</v>
      </c>
      <c r="F18" s="129">
        <f t="shared" si="1"/>
        <v>343244</v>
      </c>
      <c r="G18" s="129">
        <f t="shared" si="1"/>
        <v>340244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360479</v>
      </c>
      <c r="K27" s="34">
        <f>K80+K119+K158+K196+K234+K272</f>
        <v>360479</v>
      </c>
      <c r="L27" s="34">
        <f>L80+L119+L158+L196+L234+L272</f>
        <v>360479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360479</v>
      </c>
      <c r="K29" s="34">
        <f t="shared" si="5"/>
        <v>360479</v>
      </c>
      <c r="L29" s="34">
        <f t="shared" si="5"/>
        <v>360479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194227</v>
      </c>
      <c r="L34" s="18">
        <f t="shared" si="6"/>
        <v>238255</v>
      </c>
      <c r="M34" s="18">
        <f t="shared" si="6"/>
        <v>340244</v>
      </c>
      <c r="N34" s="18">
        <f t="shared" si="6"/>
        <v>343244</v>
      </c>
      <c r="O34" s="18">
        <f t="shared" si="6"/>
        <v>340244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1664</v>
      </c>
      <c r="F35" s="305">
        <f t="shared" si="7"/>
        <v>1664</v>
      </c>
      <c r="G35" s="305">
        <f t="shared" si="7"/>
        <v>1664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276</v>
      </c>
      <c r="F36" s="305">
        <f t="shared" si="7"/>
        <v>276</v>
      </c>
      <c r="G36" s="305">
        <f t="shared" si="7"/>
        <v>276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338304</v>
      </c>
      <c r="F37" s="305">
        <f t="shared" si="7"/>
        <v>338304</v>
      </c>
      <c r="G37" s="305">
        <f t="shared" si="7"/>
        <v>338304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3000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340244</v>
      </c>
      <c r="F46" s="129">
        <f t="shared" si="7"/>
        <v>343244</v>
      </c>
      <c r="G46" s="129">
        <f t="shared" si="7"/>
        <v>340244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360479</v>
      </c>
      <c r="C48" s="34">
        <f t="shared" si="11"/>
        <v>554706</v>
      </c>
      <c r="D48" s="34">
        <f t="shared" si="11"/>
        <v>598734</v>
      </c>
      <c r="E48" s="129">
        <f t="shared" si="11"/>
        <v>340244</v>
      </c>
      <c r="F48" s="129">
        <f t="shared" si="11"/>
        <v>343244</v>
      </c>
      <c r="G48" s="129">
        <f t="shared" si="11"/>
        <v>340244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340244</v>
      </c>
      <c r="N52" s="138">
        <f>VLOOKUP($A14,'(D1) Tavanet buxhetore'!$A$7:$R$473,8,FALSE)</f>
        <v>343244</v>
      </c>
      <c r="O52" s="673">
        <f>VLOOKUP($A14,'(D1) Tavanet buxhetore'!$A$7:$R$473,9,FALSE)</f>
        <v>340244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340244</v>
      </c>
      <c r="N53" s="139">
        <f t="shared" ref="N53:O53" si="13">F18</f>
        <v>343244</v>
      </c>
      <c r="O53" s="674">
        <f t="shared" si="13"/>
        <v>340244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1940</v>
      </c>
      <c r="N55" s="138">
        <f>VLOOKUP($A14,'(D1) Tavanet buxhetore'!$A$7:$R$473,11,FALSE)</f>
        <v>1940</v>
      </c>
      <c r="O55" s="673">
        <f>VLOOKUP($A14,'(D1) Tavanet buxhetore'!$A$7:$R$473,12,FALSE)</f>
        <v>1940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1940</v>
      </c>
      <c r="N56" s="139">
        <f t="shared" ref="N56:O56" si="15">F22+F35+F23+F36</f>
        <v>1940</v>
      </c>
      <c r="O56" s="674">
        <f t="shared" si="15"/>
        <v>1940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338304</v>
      </c>
      <c r="N58" s="138">
        <f>VLOOKUP($A14,'(D1) Tavanet buxhetore'!$A$7:$R$473,14,FALSE)</f>
        <v>341304</v>
      </c>
      <c r="O58" s="673">
        <f>VLOOKUP($A14,'(D1) Tavanet buxhetore'!$A$7:$R$473,15,FALSE)</f>
        <v>338304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338304</v>
      </c>
      <c r="N59" s="139">
        <f>N53-N56-N62</f>
        <v>341304</v>
      </c>
      <c r="O59" s="674">
        <f>O53-O56-O62</f>
        <v>338304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62" t="str">
        <f t="shared" si="20"/>
        <v>101 Sëmundje dhe paaftësi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24a</v>
      </c>
      <c r="B67" s="962" t="str">
        <f>C6</f>
        <v>Kujdesi social për personat e sëmurë dhe me aftësi të kufizuara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Funksionale'!B124</f>
        <v>10140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360479</v>
      </c>
      <c r="C72" s="345">
        <f>VLOOKUP(A67,'(C1) Shpenzimet vitet e kaluara'!A$9:O$177,9,FALSE)</f>
        <v>554706</v>
      </c>
      <c r="D72" s="345">
        <f>VLOOKUP(A67,'(C1) Shpenzimet vitet e kaluara'!A$9:O$177,13,FALSE)</f>
        <v>598734</v>
      </c>
      <c r="E72" s="416">
        <v>340244</v>
      </c>
      <c r="F72" s="416">
        <v>343244</v>
      </c>
      <c r="G72" s="416">
        <v>340244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360479</v>
      </c>
      <c r="K80" s="35">
        <f>VLOOKUP($A67,'(C1) Shpenzimet vitet e kaluara'!$A$9:$O$177,11,FALSE)</f>
        <v>360479</v>
      </c>
      <c r="L80" s="35">
        <f>VLOOKUP($A67,'(C1) Shpenzimet vitet e kaluara'!$A$9:$O$177,15,FALSE)</f>
        <v>360479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360479</v>
      </c>
      <c r="K82" s="34">
        <f>K73+K80</f>
        <v>360479</v>
      </c>
      <c r="L82" s="34">
        <f>L73+L80</f>
        <v>360479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194227</v>
      </c>
      <c r="L88" s="18">
        <f t="shared" si="31"/>
        <v>238255</v>
      </c>
      <c r="M88" s="18">
        <f t="shared" si="31"/>
        <v>340244</v>
      </c>
      <c r="N88" s="18">
        <f t="shared" si="31"/>
        <v>343244</v>
      </c>
      <c r="O88" s="18">
        <f t="shared" si="31"/>
        <v>340244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1664</v>
      </c>
      <c r="F89" s="37">
        <v>1664</v>
      </c>
      <c r="G89" s="37">
        <v>1664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276</v>
      </c>
      <c r="F90" s="37">
        <v>276</v>
      </c>
      <c r="G90" s="37">
        <v>276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338304</v>
      </c>
      <c r="F91" s="37">
        <v>338304</v>
      </c>
      <c r="G91" s="37">
        <v>338304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3000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340244</v>
      </c>
      <c r="F100" s="129">
        <f t="shared" ref="F100:G100" si="33">SUM(F89:F99)</f>
        <v>343244</v>
      </c>
      <c r="G100" s="129">
        <f t="shared" si="33"/>
        <v>340244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360479</v>
      </c>
      <c r="C102" s="34">
        <f t="shared" ref="C102:D102" si="34">C72</f>
        <v>554706</v>
      </c>
      <c r="D102" s="34">
        <f t="shared" si="34"/>
        <v>598734</v>
      </c>
      <c r="E102" s="129">
        <f>E87+E100</f>
        <v>340244</v>
      </c>
      <c r="F102" s="129">
        <f>F87+F100</f>
        <v>343244</v>
      </c>
      <c r="G102" s="129">
        <f t="shared" ref="G102" si="35">G87+G100</f>
        <v>340244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23</v>
      </c>
      <c r="B105" s="962" t="str">
        <f t="shared" si="36"/>
        <v>101 Sëmundje dhe paaftësi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24b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Funksionale'!B125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23</v>
      </c>
      <c r="B144" s="962" t="str">
        <f t="shared" si="53"/>
        <v>101 Sëmundje dhe paaftësi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24c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Funksionale'!B126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bH7naRIBgYGa5xttlSim5mYlfvIyH7UewRc3E5/IiGWxm17iLCjERKYYXRBbuu4uaafz/ttiBuEDcJTvIoCbxA==" saltValue="A+X465bAsLhfsLJU6FPigA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96" zoomScaleNormal="100" workbookViewId="0">
      <selection activeCell="E72" sqref="E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Fjalori'!A88</f>
        <v>Nënfunksioni 24</v>
      </c>
      <c r="B2" s="860" t="str">
        <f>+VLOOKUP($A2,'(B2) Struktura Organizative'!$A7:$E68,2,FALSE)</f>
        <v>102 Të moshuarit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Funksionale'!A128</f>
        <v>Programi 25a</v>
      </c>
      <c r="B6" s="940"/>
      <c r="C6" s="941" t="str">
        <f>VLOOKUP($A6,'(B3) Struktura Funksionale'!$A$7:$E$146,3,FALSE)</f>
        <v>Sigurimi shoqëror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Funksionale'!A129</f>
        <v>Programi 25b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Funksionale'!A130</f>
        <v>Programi 25c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24</v>
      </c>
      <c r="B14" s="962" t="str">
        <f>B$2</f>
        <v>102 Të moshuarit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62" t="str">
        <f t="shared" si="20"/>
        <v>102 Të moshuarit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25a</v>
      </c>
      <c r="B67" s="962" t="str">
        <f>C6</f>
        <v>Sigurimi shoqëror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Funksionale'!B128</f>
        <v>10220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24</v>
      </c>
      <c r="B105" s="962" t="str">
        <f t="shared" si="36"/>
        <v>102 Të moshuarit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25b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Funksionale'!B129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2">A74</f>
        <v>SHPENZIME TË PRITSHME</v>
      </c>
      <c r="B113" s="970">
        <f t="shared" si="42"/>
        <v>0</v>
      </c>
      <c r="C113" s="970">
        <f t="shared" si="42"/>
        <v>0</v>
      </c>
      <c r="D113" s="970">
        <f t="shared" si="42"/>
        <v>0</v>
      </c>
      <c r="E113" s="970">
        <f t="shared" si="42"/>
        <v>0</v>
      </c>
      <c r="F113" s="970">
        <f t="shared" si="42"/>
        <v>0</v>
      </c>
      <c r="G113" s="971">
        <f t="shared" si="42"/>
        <v>0</v>
      </c>
      <c r="H113" s="10"/>
    </row>
    <row r="114" spans="1:15" ht="12.75" x14ac:dyDescent="0.2">
      <c r="A114" s="963" t="str">
        <f t="shared" si="42"/>
        <v>KOSTO DIREKTE PËR PROJEKTET DHE SHPENZIMET KAPITALE</v>
      </c>
      <c r="B114" s="964">
        <f t="shared" si="42"/>
        <v>0</v>
      </c>
      <c r="C114" s="964">
        <f t="shared" si="42"/>
        <v>0</v>
      </c>
      <c r="D114" s="964">
        <f t="shared" si="42"/>
        <v>0</v>
      </c>
      <c r="E114" s="964">
        <f t="shared" si="42"/>
        <v>0</v>
      </c>
      <c r="F114" s="964">
        <f t="shared" si="42"/>
        <v>0</v>
      </c>
      <c r="G114" s="965">
        <f t="shared" si="42"/>
        <v>0</v>
      </c>
      <c r="H114" s="31"/>
      <c r="I114" s="963" t="str">
        <f t="shared" ref="I114:I119" si="43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4">A76</f>
        <v>Pagat</v>
      </c>
      <c r="B115" s="966">
        <f t="shared" si="44"/>
        <v>600</v>
      </c>
      <c r="C115" s="967">
        <f t="shared" si="44"/>
        <v>0</v>
      </c>
      <c r="D115" s="968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66">
        <f t="shared" si="44"/>
        <v>601</v>
      </c>
      <c r="C116" s="967">
        <f t="shared" si="44"/>
        <v>0</v>
      </c>
      <c r="D116" s="968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66">
        <f t="shared" si="44"/>
        <v>602</v>
      </c>
      <c r="C117" s="967">
        <f t="shared" si="44"/>
        <v>0</v>
      </c>
      <c r="D117" s="968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66">
        <f t="shared" si="44"/>
        <v>603</v>
      </c>
      <c r="C118" s="967">
        <f t="shared" si="44"/>
        <v>0</v>
      </c>
      <c r="D118" s="968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66">
        <f t="shared" si="44"/>
        <v>604</v>
      </c>
      <c r="C119" s="967">
        <f t="shared" si="44"/>
        <v>0</v>
      </c>
      <c r="D119" s="968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66">
        <f t="shared" si="44"/>
        <v>605</v>
      </c>
      <c r="C120" s="967">
        <f t="shared" si="44"/>
        <v>0</v>
      </c>
      <c r="D120" s="968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66">
        <f t="shared" si="44"/>
        <v>606</v>
      </c>
      <c r="C121" s="967">
        <f t="shared" si="44"/>
        <v>0</v>
      </c>
      <c r="D121" s="968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66" t="str">
        <f t="shared" si="44"/>
        <v>230 / 231</v>
      </c>
      <c r="C122" s="967">
        <f t="shared" si="44"/>
        <v>0</v>
      </c>
      <c r="D122" s="968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66">
        <f t="shared" si="44"/>
        <v>609</v>
      </c>
      <c r="C123" s="967">
        <f t="shared" si="44"/>
        <v>0</v>
      </c>
      <c r="D123" s="968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66">
        <f t="shared" si="44"/>
        <v>650</v>
      </c>
      <c r="C124" s="967">
        <f t="shared" si="44"/>
        <v>0</v>
      </c>
      <c r="D124" s="968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66" t="str">
        <f t="shared" si="44"/>
        <v>69 / ?</v>
      </c>
      <c r="C125" s="967">
        <f t="shared" si="44"/>
        <v>0</v>
      </c>
      <c r="D125" s="968">
        <f t="shared" si="44"/>
        <v>0</v>
      </c>
      <c r="E125" s="129"/>
      <c r="F125" s="129"/>
      <c r="G125" s="129"/>
      <c r="H125" s="53"/>
      <c r="I125" s="972" t="str">
        <f t="shared" ref="I125:O126" si="46">I86</f>
        <v>SHUMA E KËRKUAR NETO</v>
      </c>
      <c r="J125" s="973">
        <f t="shared" si="46"/>
        <v>0</v>
      </c>
      <c r="K125" s="973">
        <f t="shared" si="46"/>
        <v>0</v>
      </c>
      <c r="L125" s="973">
        <f t="shared" si="46"/>
        <v>0</v>
      </c>
      <c r="M125" s="973">
        <f t="shared" si="46"/>
        <v>0</v>
      </c>
      <c r="N125" s="973">
        <f t="shared" si="46"/>
        <v>0</v>
      </c>
      <c r="O125" s="974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66">
        <f t="shared" si="44"/>
        <v>0</v>
      </c>
      <c r="C126" s="967">
        <f t="shared" si="44"/>
        <v>0</v>
      </c>
      <c r="D126" s="968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75">
        <f t="shared" si="46"/>
        <v>0</v>
      </c>
      <c r="J126" s="976">
        <f t="shared" si="46"/>
        <v>0</v>
      </c>
      <c r="K126" s="976">
        <f t="shared" si="46"/>
        <v>0</v>
      </c>
      <c r="L126" s="976">
        <f t="shared" si="46"/>
        <v>0</v>
      </c>
      <c r="M126" s="976">
        <f t="shared" si="46"/>
        <v>0</v>
      </c>
      <c r="N126" s="976">
        <f t="shared" si="46"/>
        <v>0</v>
      </c>
      <c r="O126" s="977">
        <f t="shared" si="46"/>
        <v>0</v>
      </c>
    </row>
    <row r="127" spans="1:15" ht="12.75" x14ac:dyDescent="0.2">
      <c r="A127" s="963" t="str">
        <f t="shared" si="44"/>
        <v>SHPENZIME KORRENTE</v>
      </c>
      <c r="B127" s="964">
        <f t="shared" si="44"/>
        <v>0</v>
      </c>
      <c r="C127" s="964">
        <f t="shared" si="44"/>
        <v>0</v>
      </c>
      <c r="D127" s="964">
        <f t="shared" si="44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66">
        <f t="shared" si="44"/>
        <v>600</v>
      </c>
      <c r="C128" s="967">
        <f t="shared" si="44"/>
        <v>0</v>
      </c>
      <c r="D128" s="968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66">
        <f t="shared" si="44"/>
        <v>601</v>
      </c>
      <c r="C129" s="967">
        <f t="shared" si="44"/>
        <v>0</v>
      </c>
      <c r="D129" s="968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66">
        <f t="shared" si="44"/>
        <v>602</v>
      </c>
      <c r="C130" s="967">
        <f t="shared" si="44"/>
        <v>0</v>
      </c>
      <c r="D130" s="968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66">
        <f t="shared" si="44"/>
        <v>603</v>
      </c>
      <c r="C131" s="967">
        <f t="shared" si="44"/>
        <v>0</v>
      </c>
      <c r="D131" s="968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66">
        <f t="shared" si="44"/>
        <v>604</v>
      </c>
      <c r="C132" s="967">
        <f t="shared" si="44"/>
        <v>0</v>
      </c>
      <c r="D132" s="968">
        <f t="shared" si="44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66">
        <f t="shared" si="44"/>
        <v>605</v>
      </c>
      <c r="C133" s="967">
        <f t="shared" si="44"/>
        <v>0</v>
      </c>
      <c r="D133" s="968">
        <f t="shared" si="44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66">
        <f t="shared" si="44"/>
        <v>606</v>
      </c>
      <c r="C134" s="967">
        <f t="shared" si="44"/>
        <v>0</v>
      </c>
      <c r="D134" s="968">
        <f t="shared" si="44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93" t="str">
        <f t="shared" si="44"/>
        <v>230 / 231</v>
      </c>
      <c r="C135" s="994">
        <f t="shared" si="44"/>
        <v>0</v>
      </c>
      <c r="D135" s="995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66">
        <f t="shared" si="44"/>
        <v>609</v>
      </c>
      <c r="C136" s="967">
        <f t="shared" si="44"/>
        <v>0</v>
      </c>
      <c r="D136" s="968">
        <f t="shared" si="44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4"/>
        <v>Interesa per kredi direkte ose bono</v>
      </c>
      <c r="B137" s="996">
        <f t="shared" si="44"/>
        <v>650</v>
      </c>
      <c r="C137" s="997">
        <f t="shared" si="44"/>
        <v>0</v>
      </c>
      <c r="D137" s="998">
        <f t="shared" si="44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3">A66</f>
        <v>Nënfunksioni 24</v>
      </c>
      <c r="B144" s="962" t="str">
        <f t="shared" si="53"/>
        <v>102 Të moshuarit</v>
      </c>
      <c r="C144" s="962">
        <f t="shared" si="53"/>
        <v>0</v>
      </c>
      <c r="D144" s="962">
        <f t="shared" si="53"/>
        <v>0</v>
      </c>
      <c r="E144" s="962">
        <f t="shared" si="53"/>
        <v>0</v>
      </c>
      <c r="F144" s="962">
        <f t="shared" si="53"/>
        <v>0</v>
      </c>
      <c r="G144" s="962">
        <f t="shared" si="53"/>
        <v>0</v>
      </c>
      <c r="H144" s="962">
        <f t="shared" si="53"/>
        <v>0</v>
      </c>
      <c r="I144" s="962">
        <f t="shared" si="53"/>
        <v>0</v>
      </c>
      <c r="J144" s="962">
        <f t="shared" si="53"/>
        <v>0</v>
      </c>
      <c r="K144" s="962">
        <f t="shared" si="53"/>
        <v>0</v>
      </c>
      <c r="L144" s="962">
        <f t="shared" si="53"/>
        <v>0</v>
      </c>
      <c r="M144" s="962">
        <f t="shared" si="53"/>
        <v>0</v>
      </c>
      <c r="N144" s="962">
        <f t="shared" si="53"/>
        <v>0</v>
      </c>
      <c r="O144" s="962">
        <f t="shared" si="53"/>
        <v>0</v>
      </c>
    </row>
    <row r="145" spans="1:15" ht="17.25" customHeight="1" x14ac:dyDescent="0.2">
      <c r="A145" s="276" t="str">
        <f>A8</f>
        <v>Programi 25c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Funksionale'!B130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4">A69</f>
        <v>SHPENZIME TË PRITSHME</v>
      </c>
      <c r="B147" s="990">
        <f t="shared" si="54"/>
        <v>0</v>
      </c>
      <c r="C147" s="990">
        <f t="shared" si="54"/>
        <v>0</v>
      </c>
      <c r="D147" s="990">
        <f t="shared" si="54"/>
        <v>0</v>
      </c>
      <c r="E147" s="990">
        <f t="shared" si="54"/>
        <v>0</v>
      </c>
      <c r="F147" s="990">
        <f t="shared" si="54"/>
        <v>0</v>
      </c>
      <c r="G147" s="991">
        <f t="shared" si="54"/>
        <v>0</v>
      </c>
      <c r="H147" s="131"/>
      <c r="I147" s="992" t="str">
        <f t="shared" ref="I147:O147" si="55">I69</f>
        <v xml:space="preserve">TË ARDHURAT E PRITSHME </v>
      </c>
      <c r="J147" s="990">
        <f t="shared" si="55"/>
        <v>0</v>
      </c>
      <c r="K147" s="990">
        <f t="shared" si="55"/>
        <v>0</v>
      </c>
      <c r="L147" s="990">
        <f t="shared" si="55"/>
        <v>0</v>
      </c>
      <c r="M147" s="990">
        <f t="shared" si="55"/>
        <v>0</v>
      </c>
      <c r="N147" s="990">
        <f t="shared" si="55"/>
        <v>0</v>
      </c>
      <c r="O147" s="991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8">I72</f>
        <v>VLERËSIM I ARDHURAVE NGA TARIFAT</v>
      </c>
      <c r="J150" s="964">
        <f t="shared" si="58"/>
        <v>0</v>
      </c>
      <c r="K150" s="964">
        <f t="shared" si="58"/>
        <v>0</v>
      </c>
      <c r="L150" s="964">
        <f t="shared" si="58"/>
        <v>0</v>
      </c>
      <c r="M150" s="964">
        <f t="shared" si="58"/>
        <v>0</v>
      </c>
      <c r="N150" s="964">
        <f t="shared" si="58"/>
        <v>0</v>
      </c>
      <c r="O150" s="965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9">A74</f>
        <v>SHPENZIME TË PRITSHME</v>
      </c>
      <c r="B152" s="970">
        <f t="shared" si="59"/>
        <v>0</v>
      </c>
      <c r="C152" s="970">
        <f t="shared" si="59"/>
        <v>0</v>
      </c>
      <c r="D152" s="970">
        <f t="shared" si="59"/>
        <v>0</v>
      </c>
      <c r="E152" s="970">
        <f t="shared" si="59"/>
        <v>0</v>
      </c>
      <c r="F152" s="970">
        <f t="shared" si="59"/>
        <v>0</v>
      </c>
      <c r="G152" s="971">
        <f t="shared" si="59"/>
        <v>0</v>
      </c>
      <c r="H152" s="10"/>
    </row>
    <row r="153" spans="1:15" ht="12.75" x14ac:dyDescent="0.2">
      <c r="A153" s="963" t="str">
        <f t="shared" si="59"/>
        <v>KOSTO DIREKTE PËR PROJEKTET DHE SHPENZIMET KAPITALE</v>
      </c>
      <c r="B153" s="964">
        <f t="shared" si="59"/>
        <v>0</v>
      </c>
      <c r="C153" s="964">
        <f t="shared" si="59"/>
        <v>0</v>
      </c>
      <c r="D153" s="964">
        <f t="shared" si="59"/>
        <v>0</v>
      </c>
      <c r="E153" s="964">
        <f t="shared" si="59"/>
        <v>0</v>
      </c>
      <c r="F153" s="964">
        <f t="shared" si="59"/>
        <v>0</v>
      </c>
      <c r="G153" s="965">
        <f t="shared" si="59"/>
        <v>0</v>
      </c>
      <c r="H153" s="31"/>
      <c r="I153" s="963" t="str">
        <f t="shared" ref="I153:I158" si="60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1">A76</f>
        <v>Pagat</v>
      </c>
      <c r="B154" s="966">
        <f t="shared" si="61"/>
        <v>600</v>
      </c>
      <c r="C154" s="967">
        <f t="shared" si="61"/>
        <v>0</v>
      </c>
      <c r="D154" s="968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66">
        <f t="shared" si="61"/>
        <v>601</v>
      </c>
      <c r="C155" s="967">
        <f t="shared" si="61"/>
        <v>0</v>
      </c>
      <c r="D155" s="968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66">
        <f t="shared" si="61"/>
        <v>602</v>
      </c>
      <c r="C156" s="967">
        <f t="shared" si="61"/>
        <v>0</v>
      </c>
      <c r="D156" s="968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66">
        <f t="shared" si="61"/>
        <v>603</v>
      </c>
      <c r="C157" s="967">
        <f t="shared" si="61"/>
        <v>0</v>
      </c>
      <c r="D157" s="968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66">
        <f t="shared" si="61"/>
        <v>604</v>
      </c>
      <c r="C158" s="967">
        <f t="shared" si="61"/>
        <v>0</v>
      </c>
      <c r="D158" s="968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66">
        <f t="shared" si="61"/>
        <v>605</v>
      </c>
      <c r="C159" s="967">
        <f t="shared" si="61"/>
        <v>0</v>
      </c>
      <c r="D159" s="968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66">
        <f t="shared" si="61"/>
        <v>606</v>
      </c>
      <c r="C160" s="967">
        <f t="shared" si="61"/>
        <v>0</v>
      </c>
      <c r="D160" s="968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66" t="str">
        <f t="shared" si="61"/>
        <v>230 / 231</v>
      </c>
      <c r="C161" s="967">
        <f t="shared" si="61"/>
        <v>0</v>
      </c>
      <c r="D161" s="968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66">
        <f t="shared" si="61"/>
        <v>609</v>
      </c>
      <c r="C162" s="967">
        <f t="shared" si="61"/>
        <v>0</v>
      </c>
      <c r="D162" s="968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66">
        <f t="shared" si="61"/>
        <v>650</v>
      </c>
      <c r="C163" s="967">
        <f t="shared" si="61"/>
        <v>0</v>
      </c>
      <c r="D163" s="968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66" t="str">
        <f t="shared" si="61"/>
        <v>69 / ?</v>
      </c>
      <c r="C164" s="967">
        <f t="shared" si="61"/>
        <v>0</v>
      </c>
      <c r="D164" s="968">
        <f t="shared" si="61"/>
        <v>0</v>
      </c>
      <c r="E164" s="129"/>
      <c r="F164" s="129"/>
      <c r="G164" s="129"/>
      <c r="H164" s="53"/>
      <c r="I164" s="972" t="str">
        <f t="shared" ref="I164:O165" si="63">I86</f>
        <v>SHUMA E KËRKUAR NETO</v>
      </c>
      <c r="J164" s="973">
        <f t="shared" si="63"/>
        <v>0</v>
      </c>
      <c r="K164" s="973">
        <f t="shared" si="63"/>
        <v>0</v>
      </c>
      <c r="L164" s="973">
        <f t="shared" si="63"/>
        <v>0</v>
      </c>
      <c r="M164" s="973">
        <f t="shared" si="63"/>
        <v>0</v>
      </c>
      <c r="N164" s="973">
        <f t="shared" si="63"/>
        <v>0</v>
      </c>
      <c r="O164" s="974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66">
        <f t="shared" si="61"/>
        <v>0</v>
      </c>
      <c r="C165" s="967">
        <f t="shared" si="61"/>
        <v>0</v>
      </c>
      <c r="D165" s="968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75">
        <f t="shared" si="63"/>
        <v>0</v>
      </c>
      <c r="J165" s="976">
        <f t="shared" si="63"/>
        <v>0</v>
      </c>
      <c r="K165" s="976">
        <f t="shared" si="63"/>
        <v>0</v>
      </c>
      <c r="L165" s="976">
        <f t="shared" si="63"/>
        <v>0</v>
      </c>
      <c r="M165" s="976">
        <f t="shared" si="63"/>
        <v>0</v>
      </c>
      <c r="N165" s="976">
        <f t="shared" si="63"/>
        <v>0</v>
      </c>
      <c r="O165" s="977">
        <f t="shared" si="63"/>
        <v>0</v>
      </c>
    </row>
    <row r="166" spans="1:15" ht="12.75" x14ac:dyDescent="0.2">
      <c r="A166" s="963" t="str">
        <f t="shared" si="61"/>
        <v>SHPENZIME KORRENTE</v>
      </c>
      <c r="B166" s="964">
        <f t="shared" si="61"/>
        <v>0</v>
      </c>
      <c r="C166" s="964">
        <f t="shared" si="61"/>
        <v>0</v>
      </c>
      <c r="D166" s="964">
        <f t="shared" si="61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66">
        <f t="shared" si="61"/>
        <v>600</v>
      </c>
      <c r="C167" s="967">
        <f t="shared" si="61"/>
        <v>0</v>
      </c>
      <c r="D167" s="968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66">
        <f t="shared" si="61"/>
        <v>601</v>
      </c>
      <c r="C168" s="967">
        <f t="shared" si="61"/>
        <v>0</v>
      </c>
      <c r="D168" s="968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66">
        <f t="shared" si="61"/>
        <v>602</v>
      </c>
      <c r="C169" s="967">
        <f t="shared" si="61"/>
        <v>0</v>
      </c>
      <c r="D169" s="968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66">
        <f t="shared" si="61"/>
        <v>603</v>
      </c>
      <c r="C170" s="967">
        <f t="shared" si="61"/>
        <v>0</v>
      </c>
      <c r="D170" s="968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66">
        <f t="shared" si="61"/>
        <v>604</v>
      </c>
      <c r="C171" s="967">
        <f t="shared" si="61"/>
        <v>0</v>
      </c>
      <c r="D171" s="968">
        <f t="shared" si="61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66">
        <f t="shared" si="61"/>
        <v>605</v>
      </c>
      <c r="C172" s="967">
        <f t="shared" si="61"/>
        <v>0</v>
      </c>
      <c r="D172" s="968">
        <f t="shared" si="61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66">
        <f t="shared" si="61"/>
        <v>606</v>
      </c>
      <c r="C173" s="967">
        <f t="shared" si="61"/>
        <v>0</v>
      </c>
      <c r="D173" s="968">
        <f t="shared" si="61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93" t="str">
        <f t="shared" si="61"/>
        <v>230 / 231</v>
      </c>
      <c r="C174" s="994">
        <f t="shared" si="61"/>
        <v>0</v>
      </c>
      <c r="D174" s="995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66">
        <f t="shared" si="61"/>
        <v>609</v>
      </c>
      <c r="C175" s="967">
        <f t="shared" si="61"/>
        <v>0</v>
      </c>
      <c r="D175" s="968">
        <f t="shared" si="61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1"/>
        <v>Interesa per kredi direkte ose bono</v>
      </c>
      <c r="B176" s="996">
        <f t="shared" si="61"/>
        <v>650</v>
      </c>
      <c r="C176" s="997">
        <f t="shared" si="61"/>
        <v>0</v>
      </c>
      <c r="D176" s="998">
        <f t="shared" si="61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rNYKj+EBygpmeHNb2xhTAcx85DwqCBT968p5gNe7TQeMlz3ZUKDjBUYiFVRHtLWLWb4nkhDDElrrc1rCuGpKyw==" saltValue="9zFpIVOu9bJVWtCraALsIg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57" t="str">
        <f>'(G1) Fjalori'!A94</f>
        <v>(B3) PROGRAME PËR NËNFUNKSIONE DHE FUNKSIONE</v>
      </c>
      <c r="B3" s="858"/>
      <c r="C3" s="858"/>
      <c r="D3" s="858"/>
      <c r="E3" s="858"/>
      <c r="F3" s="859"/>
    </row>
    <row r="4" spans="1:7" s="1" customFormat="1" x14ac:dyDescent="0.2">
      <c r="B4" s="3"/>
    </row>
    <row r="5" spans="1:7" ht="26.25" thickBot="1" x14ac:dyDescent="0.25">
      <c r="A5" s="372"/>
      <c r="B5" s="372"/>
      <c r="C5" s="665" t="str">
        <f>'(G1) Fjalori'!A95</f>
        <v>Emri i programit</v>
      </c>
      <c r="D5" s="665" t="str">
        <f>'(G1) Fjalori'!A96</f>
        <v>Programi:  detyrueshme / shtesë</v>
      </c>
      <c r="E5" s="665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6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6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6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7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8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8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6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6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6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6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9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6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9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9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6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9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9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6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6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9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6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6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6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6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6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8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60" t="str">
        <f>'(G3) Fjalori'!B30</f>
        <v>Bujqësia, pyjet, peshkimi dhe gjuetia</v>
      </c>
      <c r="D41" s="860"/>
      <c r="E41" s="860"/>
    </row>
    <row r="42" spans="1:7" x14ac:dyDescent="0.2">
      <c r="A42" s="113" t="str">
        <f>'(G1) Fjalori'!A127</f>
        <v>Programi 7a</v>
      </c>
      <c r="B42" s="666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6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6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6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6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9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60" t="str">
        <f>'(G3) Fjalori'!B36</f>
        <v>Transporti</v>
      </c>
      <c r="D48" s="860"/>
      <c r="E48" s="860"/>
    </row>
    <row r="49" spans="1:7" x14ac:dyDescent="0.2">
      <c r="A49" s="113" t="str">
        <f>'(G1) Fjalori'!A133</f>
        <v>Programi 8a</v>
      </c>
      <c r="B49" s="666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6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6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9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60" t="str">
        <f>'(G3) Fjalori'!B40</f>
        <v>Industri të tjera</v>
      </c>
      <c r="D53" s="860"/>
      <c r="E53" s="860"/>
    </row>
    <row r="54" spans="1:7" x14ac:dyDescent="0.2">
      <c r="A54" s="113" t="str">
        <f>'(G1) Fjalori'!A137</f>
        <v>Programi 9a</v>
      </c>
      <c r="B54" s="666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6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6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9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60" t="str">
        <f>'(G3) Fjalori'!B45</f>
        <v>Menaxhimi i mbetjeve</v>
      </c>
      <c r="D59" s="860"/>
      <c r="E59" s="860"/>
    </row>
    <row r="60" spans="1:7" x14ac:dyDescent="0.2">
      <c r="A60" s="113" t="str">
        <f>'(G1) Fjalori'!A141</f>
        <v>Programi 10a</v>
      </c>
      <c r="B60" s="666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9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9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60" t="str">
        <f>'(G3) Fjalori'!B47</f>
        <v>Menaxhimi i Ujërave të zeza</v>
      </c>
      <c r="D63" s="860"/>
      <c r="E63" s="860"/>
    </row>
    <row r="64" spans="1:7" x14ac:dyDescent="0.2">
      <c r="A64" s="113" t="str">
        <f>'(G1) Fjalori'!A144</f>
        <v>Programi 11a</v>
      </c>
      <c r="B64" s="666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9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9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6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9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9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60" t="str">
        <f>'(G3) Fjalori'!B51</f>
        <v>Mbrojtja e mjedisit</v>
      </c>
      <c r="D71" s="860"/>
      <c r="E71" s="860"/>
    </row>
    <row r="72" spans="1:7" x14ac:dyDescent="0.2">
      <c r="A72" s="113" t="str">
        <f>'(G1) Fjalori'!A150</f>
        <v>Programi 13a</v>
      </c>
      <c r="B72" s="666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6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9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60" t="str">
        <f>'(G3) Fjalori'!B55</f>
        <v>Urbanistika</v>
      </c>
      <c r="D76" s="860"/>
      <c r="E76" s="860"/>
    </row>
    <row r="77" spans="1:7" x14ac:dyDescent="0.2">
      <c r="A77" s="113" t="str">
        <f>'(G1) Fjalori'!A153</f>
        <v>Programi 14a</v>
      </c>
      <c r="B77" s="666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6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69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60" t="str">
        <f>'(G3) Fjalori'!B58</f>
        <v>Zhvillimi i komunitetit</v>
      </c>
      <c r="D80" s="860"/>
      <c r="E80" s="860"/>
    </row>
    <row r="81" spans="1:7" x14ac:dyDescent="0.2">
      <c r="A81" s="113" t="str">
        <f>'(G1) Fjalori'!A156</f>
        <v>Programi 15a</v>
      </c>
      <c r="B81" s="666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6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9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60" t="str">
        <f>'(G3) Fjalori'!B61</f>
        <v>Furnizimi me ujë</v>
      </c>
      <c r="D84" s="860"/>
      <c r="E84" s="860"/>
    </row>
    <row r="85" spans="1:7" x14ac:dyDescent="0.2">
      <c r="A85" s="113" t="str">
        <f>'(G1) Fjalori'!A159</f>
        <v>Programi 16a</v>
      </c>
      <c r="B85" s="666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9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9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60" t="str">
        <f>'(G3) Fjalori'!B63</f>
        <v>Ndriçimi i rrugëve</v>
      </c>
      <c r="D88" s="860"/>
      <c r="E88" s="860"/>
    </row>
    <row r="89" spans="1:7" x14ac:dyDescent="0.2">
      <c r="A89" s="113" t="str">
        <f>'(G1) Fjalori'!A162</f>
        <v>Programi 17a</v>
      </c>
      <c r="B89" s="666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9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9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60" t="str">
        <f>'(G3) Fjalori'!B66</f>
        <v>Shërbimet e kujdesit parësor</v>
      </c>
      <c r="D93" s="860"/>
      <c r="E93" s="860"/>
    </row>
    <row r="94" spans="1:7" x14ac:dyDescent="0.2">
      <c r="A94" s="113" t="str">
        <f>'(G1) Fjalori'!A165</f>
        <v>Programi 18a</v>
      </c>
      <c r="B94" s="666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9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9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60" t="str">
        <f>'(G3) Fjalori'!B69</f>
        <v>Shërbimet rekreative dhe sportive</v>
      </c>
      <c r="D98" s="860"/>
      <c r="E98" s="860"/>
    </row>
    <row r="99" spans="1:7" hidden="1" x14ac:dyDescent="0.2">
      <c r="A99" s="113" t="str">
        <f>'(G1) Fjalori'!A168</f>
        <v>Programi 19a</v>
      </c>
      <c r="B99" s="666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6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9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60" t="str">
        <f>'(G3) Fjalori'!B72</f>
        <v>Shërbimet kulturore</v>
      </c>
      <c r="D102" s="860"/>
      <c r="E102" s="860"/>
    </row>
    <row r="103" spans="1:7" x14ac:dyDescent="0.2">
      <c r="A103" s="113" t="str">
        <f>'(G1) Fjalori'!A171</f>
        <v>Programi 20a</v>
      </c>
      <c r="B103" s="666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6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6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69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60" t="str">
        <f>'(G3) Fjalori'!B77</f>
        <v>Arsimi bazë dhe parashkollor</v>
      </c>
      <c r="D108" s="860"/>
      <c r="E108" s="860"/>
    </row>
    <row r="109" spans="1:7" x14ac:dyDescent="0.2">
      <c r="A109" s="113" t="str">
        <f>'(G1) Fjalori'!A175</f>
        <v>Programi 21a</v>
      </c>
      <c r="B109" s="666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6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6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9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60" t="str">
        <f>'(G3) Fjalori'!B81</f>
        <v>Arsimi parauniversitar</v>
      </c>
      <c r="D113" s="860"/>
      <c r="E113" s="860"/>
    </row>
    <row r="114" spans="1:7" x14ac:dyDescent="0.2">
      <c r="A114" s="113" t="str">
        <f>'(G1) Fjalori'!A179</f>
        <v>Programi 22a</v>
      </c>
      <c r="B114" s="666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6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6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9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60" t="str">
        <f>'(G3) Fjalori'!B85</f>
        <v>Shërbimet plotësuese në arsim</v>
      </c>
      <c r="D118" s="860"/>
      <c r="E118" s="860"/>
    </row>
    <row r="119" spans="1:7" hidden="1" x14ac:dyDescent="0.2">
      <c r="A119" s="113" t="str">
        <f>'(G1) Fjalori'!A183</f>
        <v>Programi 23a</v>
      </c>
      <c r="B119" s="666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9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9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60" t="str">
        <f>'(G3) Fjalori'!B88</f>
        <v>Sëmundje dhe paaftësi</v>
      </c>
      <c r="D123" s="860"/>
      <c r="E123" s="860"/>
    </row>
    <row r="124" spans="1:7" x14ac:dyDescent="0.2">
      <c r="A124" s="113" t="str">
        <f>'(G1) Fjalori'!A186</f>
        <v>Programi 24a</v>
      </c>
      <c r="B124" s="666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9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69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60" t="str">
        <f>'(G3) Fjalori'!B90</f>
        <v>Të moshuarit</v>
      </c>
      <c r="D127" s="860"/>
      <c r="E127" s="860"/>
    </row>
    <row r="128" spans="1:7" x14ac:dyDescent="0.2">
      <c r="A128" s="113" t="str">
        <f>'(G1) Fjalori'!A189</f>
        <v>Programi 25a</v>
      </c>
      <c r="B128" s="666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9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9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60" t="str">
        <f>'(G3) Fjalori'!B92</f>
        <v>Familja dhe fëmijët</v>
      </c>
      <c r="D131" s="860"/>
      <c r="E131" s="860"/>
    </row>
    <row r="132" spans="1:7" x14ac:dyDescent="0.2">
      <c r="A132" s="113" t="str">
        <f>'(G1) Fjalori'!A192</f>
        <v>Programi 26a</v>
      </c>
      <c r="B132" s="666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6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9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60" t="str">
        <f>'(G3) Fjalori'!B95</f>
        <v>Papunësia</v>
      </c>
      <c r="D135" s="860"/>
      <c r="E135" s="860"/>
    </row>
    <row r="136" spans="1:7" x14ac:dyDescent="0.2">
      <c r="A136" s="113" t="str">
        <f>'(G1) Fjalori'!A195</f>
        <v>Programi 27a</v>
      </c>
      <c r="B136" s="666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9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9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60" t="str">
        <f>'(G3) Fjalori'!B97</f>
        <v>Strehimi social</v>
      </c>
      <c r="D139" s="860"/>
      <c r="E139" s="860"/>
    </row>
    <row r="140" spans="1:7" x14ac:dyDescent="0.2">
      <c r="A140" s="113" t="str">
        <f>'(G1) Fjalori'!A198</f>
        <v>Programi 28a</v>
      </c>
      <c r="B140" s="666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9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9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60" t="str">
        <f>'(G3) Fjalori'!B99</f>
        <v>Ndihma Ekonomike</v>
      </c>
      <c r="D143" s="860"/>
      <c r="E143" s="860"/>
    </row>
    <row r="144" spans="1:7" ht="14.25" hidden="1" customHeight="1" x14ac:dyDescent="0.2">
      <c r="A144" s="113" t="str">
        <f>'(G1) Fjalori'!A201</f>
        <v>Programi 29a</v>
      </c>
      <c r="B144" s="666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9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9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s4YuzVfgy3kurp3NeE/QLxOm6zeEd2CMxRtzsdLU0YOQAHK0j0h80XQkpjmocKHf8uHPUiYO3HeqOBTFWwM9+w==" saltValue="IDpyqrIQI4hL54rEBUOVEA==" spinCount="100000"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81" zoomScaleNormal="100" workbookViewId="0">
      <selection activeCell="G89" sqref="G89:G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Fjalori'!A89</f>
        <v>Nënfunksioni 25</v>
      </c>
      <c r="B2" s="860" t="str">
        <f>+VLOOKUP($A2,'(B2) Struktura Organizative'!$A7:$E68,2,FALSE)</f>
        <v>104 Familje dhe fëmijë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Funksionale'!A132</f>
        <v>Programi 26a</v>
      </c>
      <c r="B6" s="940"/>
      <c r="C6" s="941" t="str">
        <f>VLOOKUP($A6,'(B3) Struktura Funksionale'!$A$7:$E$146,3,FALSE)</f>
        <v>Kujdesi social për familjet dhe fëmijët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deleguar</v>
      </c>
      <c r="M6" s="942"/>
      <c r="N6" s="942"/>
      <c r="O6" s="943"/>
    </row>
    <row r="7" spans="1:15" ht="13.5" customHeight="1" x14ac:dyDescent="0.2">
      <c r="A7" s="939" t="str">
        <f>'(B3) Struktura Funksionale'!A133</f>
        <v>Programi 26b</v>
      </c>
      <c r="B7" s="940"/>
      <c r="C7" s="941" t="str">
        <f>VLOOKUP($A7,'(B3) Struktura Funksionale'!$A$7:$E$146,3,FALSE)</f>
        <v>Përfshirja sociale</v>
      </c>
      <c r="D7" s="942"/>
      <c r="E7" s="942"/>
      <c r="F7" s="942"/>
      <c r="G7" s="942"/>
      <c r="H7" s="943"/>
      <c r="I7" s="941" t="str">
        <f>VLOOKUP($A7,'(B3) Struktura Funksionale'!$A$7:$E$146,4,FALSE)</f>
        <v>E detyrueshme</v>
      </c>
      <c r="J7" s="942"/>
      <c r="K7" s="943"/>
      <c r="L7" s="941" t="str">
        <f>VLOOKUP($A7,'(B3) Struktura Funksionale'!$A$7:$E$146,5,FALSE)</f>
        <v>I veti</v>
      </c>
      <c r="M7" s="942"/>
      <c r="N7" s="942"/>
      <c r="O7" s="943"/>
    </row>
    <row r="8" spans="1:15" ht="13.5" customHeight="1" x14ac:dyDescent="0.2">
      <c r="A8" s="939" t="str">
        <f>'(B3) Struktura Funksionale'!A134</f>
        <v>Programi 26c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25</v>
      </c>
      <c r="B14" s="962" t="str">
        <f>B$2</f>
        <v>104 Familje dhe fëmijë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143066</v>
      </c>
      <c r="C18" s="34">
        <f t="shared" si="1"/>
        <v>143066</v>
      </c>
      <c r="D18" s="34">
        <f t="shared" si="1"/>
        <v>143066</v>
      </c>
      <c r="E18" s="129">
        <f t="shared" si="1"/>
        <v>20100</v>
      </c>
      <c r="F18" s="129">
        <f t="shared" si="1"/>
        <v>20044</v>
      </c>
      <c r="G18" s="129">
        <f t="shared" si="1"/>
        <v>20100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143066</v>
      </c>
      <c r="K27" s="34">
        <f>K80+K119+K158+K196+K234+K272</f>
        <v>143066</v>
      </c>
      <c r="L27" s="34">
        <f>L80+L119+L158+L196+L234+L272</f>
        <v>143066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143066</v>
      </c>
      <c r="K29" s="34">
        <f t="shared" si="5"/>
        <v>143066</v>
      </c>
      <c r="L29" s="34">
        <f t="shared" si="5"/>
        <v>143066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20100</v>
      </c>
      <c r="N34" s="18">
        <f t="shared" si="6"/>
        <v>20044</v>
      </c>
      <c r="O34" s="18">
        <f t="shared" si="6"/>
        <v>20100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15252</v>
      </c>
      <c r="F35" s="305">
        <f t="shared" si="7"/>
        <v>15196</v>
      </c>
      <c r="G35" s="305">
        <f t="shared" si="7"/>
        <v>15252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2548</v>
      </c>
      <c r="F36" s="305">
        <f t="shared" si="7"/>
        <v>2548</v>
      </c>
      <c r="G36" s="305">
        <f t="shared" si="7"/>
        <v>2548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2300</v>
      </c>
      <c r="F37" s="305">
        <f t="shared" si="7"/>
        <v>2300</v>
      </c>
      <c r="G37" s="305">
        <f t="shared" si="7"/>
        <v>2300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20100</v>
      </c>
      <c r="F46" s="129">
        <f t="shared" si="7"/>
        <v>20044</v>
      </c>
      <c r="G46" s="129">
        <f t="shared" si="7"/>
        <v>20100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143066</v>
      </c>
      <c r="C48" s="34">
        <f t="shared" si="11"/>
        <v>143066</v>
      </c>
      <c r="D48" s="34">
        <f t="shared" si="11"/>
        <v>143066</v>
      </c>
      <c r="E48" s="129">
        <f t="shared" si="11"/>
        <v>20100</v>
      </c>
      <c r="F48" s="129">
        <f t="shared" si="11"/>
        <v>20044</v>
      </c>
      <c r="G48" s="129">
        <f t="shared" si="11"/>
        <v>20100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20100</v>
      </c>
      <c r="N52" s="138">
        <f>VLOOKUP($A14,'(D1) Tavanet buxhetore'!$A$7:$R$473,8,FALSE)</f>
        <v>20044</v>
      </c>
      <c r="O52" s="673">
        <f>VLOOKUP($A14,'(D1) Tavanet buxhetore'!$A$7:$R$473,9,FALSE)</f>
        <v>20100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20100</v>
      </c>
      <c r="N53" s="139">
        <f t="shared" ref="N53:O53" si="13">F18</f>
        <v>20044</v>
      </c>
      <c r="O53" s="674">
        <f t="shared" si="13"/>
        <v>20100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17800</v>
      </c>
      <c r="N55" s="138">
        <f>VLOOKUP($A14,'(D1) Tavanet buxhetore'!$A$7:$R$473,11,FALSE)</f>
        <v>17744</v>
      </c>
      <c r="O55" s="673">
        <f>VLOOKUP($A14,'(D1) Tavanet buxhetore'!$A$7:$R$473,12,FALSE)</f>
        <v>17800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17800</v>
      </c>
      <c r="N56" s="139">
        <f t="shared" ref="N56:O56" si="15">F22+F35+F23+F36</f>
        <v>17744</v>
      </c>
      <c r="O56" s="674">
        <f t="shared" si="15"/>
        <v>17800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2300</v>
      </c>
      <c r="N58" s="138">
        <f>VLOOKUP($A14,'(D1) Tavanet buxhetore'!$A$7:$R$473,14,FALSE)</f>
        <v>2300</v>
      </c>
      <c r="O58" s="673">
        <f>VLOOKUP($A14,'(D1) Tavanet buxhetore'!$A$7:$R$473,15,FALSE)</f>
        <v>2300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2300</v>
      </c>
      <c r="N59" s="139">
        <f>N53-N56-N62</f>
        <v>2300</v>
      </c>
      <c r="O59" s="674">
        <f>O53-O56-O62</f>
        <v>2300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62" t="str">
        <f t="shared" si="20"/>
        <v>104 Familje dhe fëmijë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26a</v>
      </c>
      <c r="B67" s="962" t="str">
        <f>C6</f>
        <v>Kujdesi social për familjet dhe fëmijët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Funksionale'!B132</f>
        <v>10430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143066</v>
      </c>
      <c r="C72" s="345">
        <f>VLOOKUP(A67,'(C1) Shpenzimet vitet e kaluara'!A$9:O$177,9,FALSE)</f>
        <v>143066</v>
      </c>
      <c r="D72" s="345">
        <f>VLOOKUP(A67,'(C1) Shpenzimet vitet e kaluara'!A$9:O$177,13,FALSE)</f>
        <v>143066</v>
      </c>
      <c r="E72" s="416">
        <v>20100</v>
      </c>
      <c r="F72" s="416">
        <v>20044</v>
      </c>
      <c r="G72" s="416">
        <v>20100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28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143066</v>
      </c>
      <c r="K80" s="35">
        <f>VLOOKUP($A67,'(C1) Shpenzimet vitet e kaluara'!$A$9:$O$177,11,FALSE)</f>
        <v>143066</v>
      </c>
      <c r="L80" s="35">
        <f>VLOOKUP($A67,'(C1) Shpenzimet vitet e kaluara'!$A$9:$O$177,15,FALSE)</f>
        <v>143066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143066</v>
      </c>
      <c r="K82" s="34">
        <f>K73+K80</f>
        <v>143066</v>
      </c>
      <c r="L82" s="34">
        <f>L73+L80</f>
        <v>143066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>
        <v>0</v>
      </c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20100</v>
      </c>
      <c r="N88" s="18">
        <f t="shared" si="31"/>
        <v>20044</v>
      </c>
      <c r="O88" s="18">
        <f t="shared" si="31"/>
        <v>20100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>
        <v>15252</v>
      </c>
      <c r="F89" s="37">
        <f>15252-56</f>
        <v>15196</v>
      </c>
      <c r="G89" s="37">
        <v>15252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>
        <v>2548</v>
      </c>
      <c r="F90" s="37">
        <v>2548</v>
      </c>
      <c r="G90" s="37">
        <v>2548</v>
      </c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>
        <v>2300</v>
      </c>
      <c r="F91" s="37">
        <v>2300</v>
      </c>
      <c r="G91" s="37">
        <v>2300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20100</v>
      </c>
      <c r="F100" s="129">
        <f t="shared" ref="F100:G100" si="33">SUM(F89:F99)</f>
        <v>20044</v>
      </c>
      <c r="G100" s="129">
        <f t="shared" si="33"/>
        <v>20100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143066</v>
      </c>
      <c r="C102" s="34">
        <f t="shared" ref="C102:D102" si="34">C72</f>
        <v>143066</v>
      </c>
      <c r="D102" s="34">
        <f t="shared" si="34"/>
        <v>143066</v>
      </c>
      <c r="E102" s="129">
        <f>E87+E100</f>
        <v>20100</v>
      </c>
      <c r="F102" s="129">
        <f>F87+F100</f>
        <v>20044</v>
      </c>
      <c r="G102" s="129">
        <f t="shared" ref="G102" si="35">G87+G100</f>
        <v>20100</v>
      </c>
      <c r="H102" s="53"/>
      <c r="I102" s="420"/>
      <c r="J102" s="1014"/>
      <c r="K102" s="1015"/>
      <c r="L102" s="1015"/>
      <c r="M102" s="1015"/>
      <c r="N102" s="1015"/>
      <c r="O102" s="1016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62" t="str">
        <f t="shared" si="36"/>
        <v>104 Familje dhe fëmijë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62" t="str">
        <f>C7</f>
        <v>Përfshirja sociale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hidden="1" customHeight="1" x14ac:dyDescent="0.2">
      <c r="A107" s="647" t="str">
        <f>'(B3) Struktura Funksionale'!B133</f>
        <v>10460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>I72</f>
        <v>VLERËSIM I ARDHURAVE NGA TARIFAT</v>
      </c>
      <c r="J111" s="964"/>
      <c r="K111" s="964"/>
      <c r="L111" s="964"/>
      <c r="M111" s="964"/>
      <c r="N111" s="964"/>
      <c r="O111" s="965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9" t="str">
        <f t="shared" ref="A113:G114" si="41">A74</f>
        <v>SHPENZIME TË PRITSHME</v>
      </c>
      <c r="B113" s="970">
        <f t="shared" si="41"/>
        <v>0</v>
      </c>
      <c r="C113" s="970">
        <f t="shared" si="41"/>
        <v>0</v>
      </c>
      <c r="D113" s="970">
        <f t="shared" si="41"/>
        <v>0</v>
      </c>
      <c r="E113" s="970">
        <f t="shared" si="41"/>
        <v>0</v>
      </c>
      <c r="F113" s="970">
        <f t="shared" si="41"/>
        <v>0</v>
      </c>
      <c r="G113" s="971">
        <f t="shared" si="41"/>
        <v>0</v>
      </c>
      <c r="H113" s="10"/>
    </row>
    <row r="114" spans="1:15" ht="12.75" hidden="1" x14ac:dyDescent="0.2">
      <c r="A114" s="963" t="str">
        <f t="shared" si="41"/>
        <v>KOSTO DIREKTE PËR PROJEKTET DHE SHPENZIMET KAPITALE</v>
      </c>
      <c r="B114" s="964">
        <f t="shared" si="41"/>
        <v>0</v>
      </c>
      <c r="C114" s="964">
        <f t="shared" si="41"/>
        <v>0</v>
      </c>
      <c r="D114" s="964">
        <f t="shared" si="41"/>
        <v>0</v>
      </c>
      <c r="E114" s="964">
        <f t="shared" si="41"/>
        <v>0</v>
      </c>
      <c r="F114" s="964">
        <f t="shared" si="41"/>
        <v>0</v>
      </c>
      <c r="G114" s="965">
        <f t="shared" si="41"/>
        <v>0</v>
      </c>
      <c r="H114" s="31"/>
      <c r="I114" s="963" t="str">
        <f t="shared" ref="I114:I119" si="42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hidden="1" x14ac:dyDescent="0.2">
      <c r="A115" s="124" t="str">
        <f t="shared" ref="A115:D137" si="43">A76</f>
        <v>Pagat</v>
      </c>
      <c r="B115" s="966">
        <f t="shared" si="43"/>
        <v>600</v>
      </c>
      <c r="C115" s="967">
        <f t="shared" si="43"/>
        <v>0</v>
      </c>
      <c r="D115" s="968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66">
        <f t="shared" si="43"/>
        <v>601</v>
      </c>
      <c r="C116" s="967">
        <f t="shared" si="43"/>
        <v>0</v>
      </c>
      <c r="D116" s="968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66">
        <f t="shared" si="43"/>
        <v>602</v>
      </c>
      <c r="C117" s="967">
        <f t="shared" si="43"/>
        <v>0</v>
      </c>
      <c r="D117" s="968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66">
        <f t="shared" si="43"/>
        <v>603</v>
      </c>
      <c r="C118" s="967">
        <f t="shared" si="43"/>
        <v>0</v>
      </c>
      <c r="D118" s="968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66">
        <f t="shared" si="43"/>
        <v>604</v>
      </c>
      <c r="C119" s="967">
        <f t="shared" si="43"/>
        <v>0</v>
      </c>
      <c r="D119" s="968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66">
        <f t="shared" si="43"/>
        <v>605</v>
      </c>
      <c r="C120" s="967">
        <f t="shared" si="43"/>
        <v>0</v>
      </c>
      <c r="D120" s="968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66">
        <f t="shared" si="43"/>
        <v>606</v>
      </c>
      <c r="C121" s="967">
        <f t="shared" si="43"/>
        <v>0</v>
      </c>
      <c r="D121" s="968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66" t="str">
        <f t="shared" si="43"/>
        <v>230 / 231</v>
      </c>
      <c r="C122" s="967">
        <f t="shared" si="43"/>
        <v>0</v>
      </c>
      <c r="D122" s="968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66">
        <f t="shared" si="43"/>
        <v>609</v>
      </c>
      <c r="C123" s="967">
        <f t="shared" si="43"/>
        <v>0</v>
      </c>
      <c r="D123" s="968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66">
        <f t="shared" si="43"/>
        <v>650</v>
      </c>
      <c r="C124" s="967">
        <f t="shared" si="43"/>
        <v>0</v>
      </c>
      <c r="D124" s="968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66" t="str">
        <f t="shared" si="43"/>
        <v>69 / ?</v>
      </c>
      <c r="C125" s="967">
        <f t="shared" si="43"/>
        <v>0</v>
      </c>
      <c r="D125" s="968">
        <f t="shared" si="43"/>
        <v>0</v>
      </c>
      <c r="E125" s="129"/>
      <c r="F125" s="129"/>
      <c r="G125" s="129"/>
      <c r="H125" s="53"/>
      <c r="I125" s="972" t="str">
        <f t="shared" ref="I125:O126" si="45">I86</f>
        <v>SHUMA E KËRKUAR NETO</v>
      </c>
      <c r="J125" s="973">
        <f t="shared" si="45"/>
        <v>0</v>
      </c>
      <c r="K125" s="973">
        <f t="shared" si="45"/>
        <v>0</v>
      </c>
      <c r="L125" s="973">
        <f t="shared" si="45"/>
        <v>0</v>
      </c>
      <c r="M125" s="973">
        <f t="shared" si="45"/>
        <v>0</v>
      </c>
      <c r="N125" s="973">
        <f t="shared" si="45"/>
        <v>0</v>
      </c>
      <c r="O125" s="974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66">
        <f t="shared" si="43"/>
        <v>0</v>
      </c>
      <c r="C126" s="967">
        <f t="shared" si="43"/>
        <v>0</v>
      </c>
      <c r="D126" s="968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75">
        <f t="shared" si="45"/>
        <v>0</v>
      </c>
      <c r="J126" s="976">
        <f t="shared" si="45"/>
        <v>0</v>
      </c>
      <c r="K126" s="976">
        <f t="shared" si="45"/>
        <v>0</v>
      </c>
      <c r="L126" s="976">
        <f t="shared" si="45"/>
        <v>0</v>
      </c>
      <c r="M126" s="976">
        <f t="shared" si="45"/>
        <v>0</v>
      </c>
      <c r="N126" s="976">
        <f t="shared" si="45"/>
        <v>0</v>
      </c>
      <c r="O126" s="977">
        <f t="shared" si="45"/>
        <v>0</v>
      </c>
    </row>
    <row r="127" spans="1:15" ht="12.75" hidden="1" x14ac:dyDescent="0.2">
      <c r="A127" s="963" t="str">
        <f t="shared" si="43"/>
        <v>SHPENZIME KORRENTE</v>
      </c>
      <c r="B127" s="964">
        <f t="shared" si="43"/>
        <v>0</v>
      </c>
      <c r="C127" s="964">
        <f t="shared" si="43"/>
        <v>0</v>
      </c>
      <c r="D127" s="964">
        <f t="shared" si="43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66">
        <f t="shared" si="43"/>
        <v>600</v>
      </c>
      <c r="C128" s="967">
        <f t="shared" si="43"/>
        <v>0</v>
      </c>
      <c r="D128" s="968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66">
        <f t="shared" si="43"/>
        <v>601</v>
      </c>
      <c r="C129" s="967">
        <f t="shared" si="43"/>
        <v>0</v>
      </c>
      <c r="D129" s="968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66">
        <f t="shared" si="43"/>
        <v>602</v>
      </c>
      <c r="C130" s="967">
        <f t="shared" si="43"/>
        <v>0</v>
      </c>
      <c r="D130" s="968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66">
        <f t="shared" si="43"/>
        <v>603</v>
      </c>
      <c r="C131" s="967">
        <f t="shared" si="43"/>
        <v>0</v>
      </c>
      <c r="D131" s="968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66">
        <f t="shared" si="43"/>
        <v>604</v>
      </c>
      <c r="C132" s="967">
        <f t="shared" si="43"/>
        <v>0</v>
      </c>
      <c r="D132" s="968">
        <f t="shared" si="43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66">
        <f t="shared" si="43"/>
        <v>605</v>
      </c>
      <c r="C133" s="967">
        <f t="shared" si="43"/>
        <v>0</v>
      </c>
      <c r="D133" s="968">
        <f t="shared" si="43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66">
        <f t="shared" si="43"/>
        <v>606</v>
      </c>
      <c r="C134" s="967">
        <f t="shared" si="43"/>
        <v>0</v>
      </c>
      <c r="D134" s="968">
        <f t="shared" si="43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3"/>
        <v>Shpenzimet kapitale</v>
      </c>
      <c r="B135" s="993" t="str">
        <f t="shared" si="43"/>
        <v>230 / 231</v>
      </c>
      <c r="C135" s="994">
        <f t="shared" si="43"/>
        <v>0</v>
      </c>
      <c r="D135" s="995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66">
        <f t="shared" si="43"/>
        <v>609</v>
      </c>
      <c r="C136" s="967">
        <f t="shared" si="43"/>
        <v>0</v>
      </c>
      <c r="D136" s="968">
        <f t="shared" si="43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hidden="1" x14ac:dyDescent="0.2">
      <c r="A137" s="124" t="str">
        <f t="shared" si="43"/>
        <v>Interesa per kredi direkte ose bono</v>
      </c>
      <c r="B137" s="996">
        <f t="shared" si="43"/>
        <v>650</v>
      </c>
      <c r="C137" s="997">
        <f t="shared" si="43"/>
        <v>0</v>
      </c>
      <c r="D137" s="998">
        <f t="shared" si="43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hidden="1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hidden="1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62" t="str">
        <f t="shared" si="52"/>
        <v>104 Familje dhe fëmijë</v>
      </c>
      <c r="C144" s="962">
        <f t="shared" si="52"/>
        <v>0</v>
      </c>
      <c r="D144" s="962">
        <f t="shared" si="52"/>
        <v>0</v>
      </c>
      <c r="E144" s="962">
        <f t="shared" si="52"/>
        <v>0</v>
      </c>
      <c r="F144" s="962">
        <f t="shared" si="52"/>
        <v>0</v>
      </c>
      <c r="G144" s="962">
        <f t="shared" si="52"/>
        <v>0</v>
      </c>
      <c r="H144" s="962">
        <f t="shared" si="52"/>
        <v>0</v>
      </c>
      <c r="I144" s="962">
        <f t="shared" si="52"/>
        <v>0</v>
      </c>
      <c r="J144" s="962">
        <f t="shared" si="52"/>
        <v>0</v>
      </c>
      <c r="K144" s="962">
        <f t="shared" si="52"/>
        <v>0</v>
      </c>
      <c r="L144" s="962">
        <f t="shared" si="52"/>
        <v>0</v>
      </c>
      <c r="M144" s="962">
        <f t="shared" si="52"/>
        <v>0</v>
      </c>
      <c r="N144" s="962">
        <f t="shared" si="52"/>
        <v>0</v>
      </c>
      <c r="O144" s="962">
        <f t="shared" si="52"/>
        <v>0</v>
      </c>
    </row>
    <row r="145" spans="1:15" ht="17.25" customHeight="1" x14ac:dyDescent="0.2">
      <c r="A145" s="276" t="str">
        <f>A8</f>
        <v>Programi 26c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Funksionale'!B134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3">A69</f>
        <v>SHPENZIME TË PRITSHME</v>
      </c>
      <c r="B147" s="990">
        <f t="shared" si="53"/>
        <v>0</v>
      </c>
      <c r="C147" s="990">
        <f t="shared" si="53"/>
        <v>0</v>
      </c>
      <c r="D147" s="990">
        <f t="shared" si="53"/>
        <v>0</v>
      </c>
      <c r="E147" s="990">
        <f t="shared" si="53"/>
        <v>0</v>
      </c>
      <c r="F147" s="990">
        <f t="shared" si="53"/>
        <v>0</v>
      </c>
      <c r="G147" s="991">
        <f t="shared" si="53"/>
        <v>0</v>
      </c>
      <c r="H147" s="131"/>
      <c r="I147" s="992" t="str">
        <f t="shared" ref="I147:O147" si="54">I69</f>
        <v xml:space="preserve">TË ARDHURAT E PRITSHME </v>
      </c>
      <c r="J147" s="990">
        <f t="shared" si="54"/>
        <v>0</v>
      </c>
      <c r="K147" s="990">
        <f t="shared" si="54"/>
        <v>0</v>
      </c>
      <c r="L147" s="990">
        <f t="shared" si="54"/>
        <v>0</v>
      </c>
      <c r="M147" s="990">
        <f t="shared" si="54"/>
        <v>0</v>
      </c>
      <c r="N147" s="990">
        <f t="shared" si="54"/>
        <v>0</v>
      </c>
      <c r="O147" s="991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7">I72</f>
        <v>VLERËSIM I ARDHURAVE NGA TARIFAT</v>
      </c>
      <c r="J150" s="964">
        <f t="shared" si="57"/>
        <v>0</v>
      </c>
      <c r="K150" s="964">
        <f t="shared" si="57"/>
        <v>0</v>
      </c>
      <c r="L150" s="964">
        <f t="shared" si="57"/>
        <v>0</v>
      </c>
      <c r="M150" s="964">
        <f t="shared" si="57"/>
        <v>0</v>
      </c>
      <c r="N150" s="964">
        <f t="shared" si="57"/>
        <v>0</v>
      </c>
      <c r="O150" s="965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8">A74</f>
        <v>SHPENZIME TË PRITSHME</v>
      </c>
      <c r="B152" s="970">
        <f t="shared" si="58"/>
        <v>0</v>
      </c>
      <c r="C152" s="970">
        <f t="shared" si="58"/>
        <v>0</v>
      </c>
      <c r="D152" s="970">
        <f t="shared" si="58"/>
        <v>0</v>
      </c>
      <c r="E152" s="970">
        <f t="shared" si="58"/>
        <v>0</v>
      </c>
      <c r="F152" s="970">
        <f t="shared" si="58"/>
        <v>0</v>
      </c>
      <c r="G152" s="971">
        <f t="shared" si="58"/>
        <v>0</v>
      </c>
      <c r="H152" s="10"/>
    </row>
    <row r="153" spans="1:15" ht="12.75" x14ac:dyDescent="0.2">
      <c r="A153" s="963" t="str">
        <f t="shared" si="58"/>
        <v>KOSTO DIREKTE PËR PROJEKTET DHE SHPENZIMET KAPITALE</v>
      </c>
      <c r="B153" s="964">
        <f t="shared" si="58"/>
        <v>0</v>
      </c>
      <c r="C153" s="964">
        <f t="shared" si="58"/>
        <v>0</v>
      </c>
      <c r="D153" s="964">
        <f t="shared" si="58"/>
        <v>0</v>
      </c>
      <c r="E153" s="964">
        <f t="shared" si="58"/>
        <v>0</v>
      </c>
      <c r="F153" s="964">
        <f t="shared" si="58"/>
        <v>0</v>
      </c>
      <c r="G153" s="965">
        <f t="shared" si="58"/>
        <v>0</v>
      </c>
      <c r="H153" s="31"/>
      <c r="I153" s="963" t="str">
        <f t="shared" ref="I153:I158" si="59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0">A76</f>
        <v>Pagat</v>
      </c>
      <c r="B154" s="966">
        <f t="shared" si="60"/>
        <v>600</v>
      </c>
      <c r="C154" s="967">
        <f t="shared" si="60"/>
        <v>0</v>
      </c>
      <c r="D154" s="968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66">
        <f t="shared" si="60"/>
        <v>601</v>
      </c>
      <c r="C155" s="967">
        <f t="shared" si="60"/>
        <v>0</v>
      </c>
      <c r="D155" s="968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66">
        <f t="shared" si="60"/>
        <v>602</v>
      </c>
      <c r="C156" s="967">
        <f t="shared" si="60"/>
        <v>0</v>
      </c>
      <c r="D156" s="968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66">
        <f t="shared" si="60"/>
        <v>603</v>
      </c>
      <c r="C157" s="967">
        <f t="shared" si="60"/>
        <v>0</v>
      </c>
      <c r="D157" s="968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66">
        <f t="shared" si="60"/>
        <v>604</v>
      </c>
      <c r="C158" s="967">
        <f t="shared" si="60"/>
        <v>0</v>
      </c>
      <c r="D158" s="968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66">
        <f t="shared" si="60"/>
        <v>605</v>
      </c>
      <c r="C159" s="967">
        <f t="shared" si="60"/>
        <v>0</v>
      </c>
      <c r="D159" s="968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66">
        <f t="shared" si="60"/>
        <v>606</v>
      </c>
      <c r="C160" s="967">
        <f t="shared" si="60"/>
        <v>0</v>
      </c>
      <c r="D160" s="968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66" t="str">
        <f t="shared" si="60"/>
        <v>230 / 231</v>
      </c>
      <c r="C161" s="967">
        <f t="shared" si="60"/>
        <v>0</v>
      </c>
      <c r="D161" s="968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66">
        <f t="shared" si="60"/>
        <v>609</v>
      </c>
      <c r="C162" s="967">
        <f t="shared" si="60"/>
        <v>0</v>
      </c>
      <c r="D162" s="968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66">
        <f t="shared" si="60"/>
        <v>650</v>
      </c>
      <c r="C163" s="967">
        <f t="shared" si="60"/>
        <v>0</v>
      </c>
      <c r="D163" s="968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66" t="str">
        <f t="shared" si="60"/>
        <v>69 / ?</v>
      </c>
      <c r="C164" s="967">
        <f t="shared" si="60"/>
        <v>0</v>
      </c>
      <c r="D164" s="968">
        <f t="shared" si="60"/>
        <v>0</v>
      </c>
      <c r="E164" s="129"/>
      <c r="F164" s="129"/>
      <c r="G164" s="129"/>
      <c r="H164" s="53"/>
      <c r="I164" s="972" t="str">
        <f t="shared" ref="I164:O165" si="62">I86</f>
        <v>SHUMA E KËRKUAR NETO</v>
      </c>
      <c r="J164" s="973">
        <f t="shared" si="62"/>
        <v>0</v>
      </c>
      <c r="K164" s="973">
        <f t="shared" si="62"/>
        <v>0</v>
      </c>
      <c r="L164" s="973">
        <f t="shared" si="62"/>
        <v>0</v>
      </c>
      <c r="M164" s="973">
        <f t="shared" si="62"/>
        <v>0</v>
      </c>
      <c r="N164" s="973">
        <f t="shared" si="62"/>
        <v>0</v>
      </c>
      <c r="O164" s="974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66">
        <f t="shared" si="60"/>
        <v>0</v>
      </c>
      <c r="C165" s="967">
        <f t="shared" si="60"/>
        <v>0</v>
      </c>
      <c r="D165" s="968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75">
        <f t="shared" si="62"/>
        <v>0</v>
      </c>
      <c r="J165" s="976">
        <f t="shared" si="62"/>
        <v>0</v>
      </c>
      <c r="K165" s="976">
        <f t="shared" si="62"/>
        <v>0</v>
      </c>
      <c r="L165" s="976">
        <f t="shared" si="62"/>
        <v>0</v>
      </c>
      <c r="M165" s="976">
        <f t="shared" si="62"/>
        <v>0</v>
      </c>
      <c r="N165" s="976">
        <f t="shared" si="62"/>
        <v>0</v>
      </c>
      <c r="O165" s="977">
        <f t="shared" si="62"/>
        <v>0</v>
      </c>
    </row>
    <row r="166" spans="1:15" ht="12.75" x14ac:dyDescent="0.2">
      <c r="A166" s="963" t="str">
        <f t="shared" si="60"/>
        <v>SHPENZIME KORRENTE</v>
      </c>
      <c r="B166" s="964">
        <f t="shared" si="60"/>
        <v>0</v>
      </c>
      <c r="C166" s="964">
        <f t="shared" si="60"/>
        <v>0</v>
      </c>
      <c r="D166" s="964">
        <f t="shared" si="60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66">
        <f t="shared" si="60"/>
        <v>600</v>
      </c>
      <c r="C167" s="967">
        <f t="shared" si="60"/>
        <v>0</v>
      </c>
      <c r="D167" s="968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66">
        <f t="shared" si="60"/>
        <v>601</v>
      </c>
      <c r="C168" s="967">
        <f t="shared" si="60"/>
        <v>0</v>
      </c>
      <c r="D168" s="968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66">
        <f t="shared" si="60"/>
        <v>602</v>
      </c>
      <c r="C169" s="967">
        <f t="shared" si="60"/>
        <v>0</v>
      </c>
      <c r="D169" s="968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66">
        <f t="shared" si="60"/>
        <v>603</v>
      </c>
      <c r="C170" s="967">
        <f t="shared" si="60"/>
        <v>0</v>
      </c>
      <c r="D170" s="968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66">
        <f t="shared" si="60"/>
        <v>604</v>
      </c>
      <c r="C171" s="967">
        <f t="shared" si="60"/>
        <v>0</v>
      </c>
      <c r="D171" s="968">
        <f t="shared" si="60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66">
        <f t="shared" si="60"/>
        <v>605</v>
      </c>
      <c r="C172" s="967">
        <f t="shared" si="60"/>
        <v>0</v>
      </c>
      <c r="D172" s="968">
        <f t="shared" si="60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66">
        <f t="shared" si="60"/>
        <v>606</v>
      </c>
      <c r="C173" s="967">
        <f t="shared" si="60"/>
        <v>0</v>
      </c>
      <c r="D173" s="968">
        <f t="shared" si="60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93" t="str">
        <f t="shared" si="60"/>
        <v>230 / 231</v>
      </c>
      <c r="C174" s="994">
        <f t="shared" si="60"/>
        <v>0</v>
      </c>
      <c r="D174" s="995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66">
        <f t="shared" si="60"/>
        <v>609</v>
      </c>
      <c r="C175" s="967">
        <f t="shared" si="60"/>
        <v>0</v>
      </c>
      <c r="D175" s="968">
        <f t="shared" si="60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0"/>
        <v>Interesa per kredi direkte ose bono</v>
      </c>
      <c r="B176" s="996">
        <f t="shared" si="60"/>
        <v>650</v>
      </c>
      <c r="C176" s="997">
        <f t="shared" si="60"/>
        <v>0</v>
      </c>
      <c r="D176" s="998">
        <f t="shared" si="60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yGFCt2nZhgK5Y3HoxvKtI/g2K1GPixf3+69CqNQDGZZ7sNyil4X53ZjNAaRGYdYOn3EY2mWyXyzzqnlQ5gQaPQ==" saltValue="4lnz1yK/hrbG6UId9ZJG1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topLeftCell="A8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Fjalori'!A90</f>
        <v>Nënfunksioni 26</v>
      </c>
      <c r="B2" s="860" t="str">
        <f>+VLOOKUP($A2,'(B2) Struktura Organizative'!$A7:$E68,2,FALSE)</f>
        <v>105 Papunësia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Funksionale'!A136</f>
        <v>Programi 27a</v>
      </c>
      <c r="B6" s="940"/>
      <c r="C6" s="941" t="str">
        <f>VLOOKUP($A6,'(B3) Struktura Funksionale'!$A$7:$E$146,3,FALSE)</f>
        <v>Papunësia, arsim dhe aftësim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Funksionale'!A137</f>
        <v>Programi 27b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Funksionale'!A138</f>
        <v>Programi 27c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26</v>
      </c>
      <c r="B14" s="962" t="str">
        <f>B$2</f>
        <v>105 Papunësia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62" t="str">
        <f t="shared" si="20"/>
        <v>105 Papunësia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27a</v>
      </c>
      <c r="B67" s="962" t="str">
        <f>C6</f>
        <v>Papunësia, arsim dhe aftësim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Funksionale'!B136</f>
        <v>10550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37"/>
      <c r="F91" s="37"/>
      <c r="G91" s="37"/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26</v>
      </c>
      <c r="B105" s="962" t="str">
        <f t="shared" si="36"/>
        <v>105 Papunësia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27b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Funksionale'!B137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>I72</f>
        <v>VLERËSIM I ARDHURAVE NGA TARIFAT</v>
      </c>
      <c r="J111" s="964"/>
      <c r="K111" s="964"/>
      <c r="L111" s="964"/>
      <c r="M111" s="964"/>
      <c r="N111" s="964"/>
      <c r="O111" s="965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1">A74</f>
        <v>SHPENZIME TË PRITSHME</v>
      </c>
      <c r="B113" s="970">
        <f t="shared" si="41"/>
        <v>0</v>
      </c>
      <c r="C113" s="970">
        <f t="shared" si="41"/>
        <v>0</v>
      </c>
      <c r="D113" s="970">
        <f t="shared" si="41"/>
        <v>0</v>
      </c>
      <c r="E113" s="970">
        <f t="shared" si="41"/>
        <v>0</v>
      </c>
      <c r="F113" s="970">
        <f t="shared" si="41"/>
        <v>0</v>
      </c>
      <c r="G113" s="971">
        <f t="shared" si="41"/>
        <v>0</v>
      </c>
      <c r="H113" s="10"/>
    </row>
    <row r="114" spans="1:15" ht="12.75" x14ac:dyDescent="0.2">
      <c r="A114" s="963" t="str">
        <f t="shared" si="41"/>
        <v>KOSTO DIREKTE PËR PROJEKTET DHE SHPENZIMET KAPITALE</v>
      </c>
      <c r="B114" s="964">
        <f t="shared" si="41"/>
        <v>0</v>
      </c>
      <c r="C114" s="964">
        <f t="shared" si="41"/>
        <v>0</v>
      </c>
      <c r="D114" s="964">
        <f t="shared" si="41"/>
        <v>0</v>
      </c>
      <c r="E114" s="964">
        <f t="shared" si="41"/>
        <v>0</v>
      </c>
      <c r="F114" s="964">
        <f t="shared" si="41"/>
        <v>0</v>
      </c>
      <c r="G114" s="965">
        <f t="shared" si="41"/>
        <v>0</v>
      </c>
      <c r="H114" s="31"/>
      <c r="I114" s="963" t="str">
        <f t="shared" ref="I114:I119" si="42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3">A76</f>
        <v>Pagat</v>
      </c>
      <c r="B115" s="966">
        <f t="shared" si="43"/>
        <v>600</v>
      </c>
      <c r="C115" s="967">
        <f t="shared" si="43"/>
        <v>0</v>
      </c>
      <c r="D115" s="968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66">
        <f t="shared" si="43"/>
        <v>601</v>
      </c>
      <c r="C116" s="967">
        <f t="shared" si="43"/>
        <v>0</v>
      </c>
      <c r="D116" s="968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66">
        <f t="shared" si="43"/>
        <v>602</v>
      </c>
      <c r="C117" s="967">
        <f t="shared" si="43"/>
        <v>0</v>
      </c>
      <c r="D117" s="968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66">
        <f t="shared" si="43"/>
        <v>603</v>
      </c>
      <c r="C118" s="967">
        <f t="shared" si="43"/>
        <v>0</v>
      </c>
      <c r="D118" s="968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66">
        <f t="shared" si="43"/>
        <v>604</v>
      </c>
      <c r="C119" s="967">
        <f t="shared" si="43"/>
        <v>0</v>
      </c>
      <c r="D119" s="968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66">
        <f t="shared" si="43"/>
        <v>605</v>
      </c>
      <c r="C120" s="967">
        <f t="shared" si="43"/>
        <v>0</v>
      </c>
      <c r="D120" s="968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66">
        <f t="shared" si="43"/>
        <v>606</v>
      </c>
      <c r="C121" s="967">
        <f t="shared" si="43"/>
        <v>0</v>
      </c>
      <c r="D121" s="968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66" t="str">
        <f t="shared" si="43"/>
        <v>230 / 231</v>
      </c>
      <c r="C122" s="967">
        <f t="shared" si="43"/>
        <v>0</v>
      </c>
      <c r="D122" s="968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66">
        <f t="shared" si="43"/>
        <v>609</v>
      </c>
      <c r="C123" s="967">
        <f t="shared" si="43"/>
        <v>0</v>
      </c>
      <c r="D123" s="968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66">
        <f t="shared" si="43"/>
        <v>650</v>
      </c>
      <c r="C124" s="967">
        <f t="shared" si="43"/>
        <v>0</v>
      </c>
      <c r="D124" s="968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66" t="str">
        <f t="shared" si="43"/>
        <v>69 / ?</v>
      </c>
      <c r="C125" s="967">
        <f t="shared" si="43"/>
        <v>0</v>
      </c>
      <c r="D125" s="968">
        <f t="shared" si="43"/>
        <v>0</v>
      </c>
      <c r="E125" s="129"/>
      <c r="F125" s="129"/>
      <c r="G125" s="129"/>
      <c r="H125" s="53"/>
      <c r="I125" s="972" t="str">
        <f t="shared" ref="I125:O126" si="45">I86</f>
        <v>SHUMA E KËRKUAR NETO</v>
      </c>
      <c r="J125" s="973">
        <f t="shared" si="45"/>
        <v>0</v>
      </c>
      <c r="K125" s="973">
        <f t="shared" si="45"/>
        <v>0</v>
      </c>
      <c r="L125" s="973">
        <f t="shared" si="45"/>
        <v>0</v>
      </c>
      <c r="M125" s="973">
        <f t="shared" si="45"/>
        <v>0</v>
      </c>
      <c r="N125" s="973">
        <f t="shared" si="45"/>
        <v>0</v>
      </c>
      <c r="O125" s="974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66">
        <f t="shared" si="43"/>
        <v>0</v>
      </c>
      <c r="C126" s="967">
        <f t="shared" si="43"/>
        <v>0</v>
      </c>
      <c r="D126" s="968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75">
        <f t="shared" si="45"/>
        <v>0</v>
      </c>
      <c r="J126" s="976">
        <f t="shared" si="45"/>
        <v>0</v>
      </c>
      <c r="K126" s="976">
        <f t="shared" si="45"/>
        <v>0</v>
      </c>
      <c r="L126" s="976">
        <f t="shared" si="45"/>
        <v>0</v>
      </c>
      <c r="M126" s="976">
        <f t="shared" si="45"/>
        <v>0</v>
      </c>
      <c r="N126" s="976">
        <f t="shared" si="45"/>
        <v>0</v>
      </c>
      <c r="O126" s="977">
        <f t="shared" si="45"/>
        <v>0</v>
      </c>
    </row>
    <row r="127" spans="1:15" ht="12.75" x14ac:dyDescent="0.2">
      <c r="A127" s="963" t="str">
        <f t="shared" si="43"/>
        <v>SHPENZIME KORRENTE</v>
      </c>
      <c r="B127" s="964">
        <f t="shared" si="43"/>
        <v>0</v>
      </c>
      <c r="C127" s="964">
        <f t="shared" si="43"/>
        <v>0</v>
      </c>
      <c r="D127" s="964">
        <f t="shared" si="43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66">
        <f t="shared" si="43"/>
        <v>600</v>
      </c>
      <c r="C128" s="967">
        <f t="shared" si="43"/>
        <v>0</v>
      </c>
      <c r="D128" s="968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66">
        <f t="shared" si="43"/>
        <v>601</v>
      </c>
      <c r="C129" s="967">
        <f t="shared" si="43"/>
        <v>0</v>
      </c>
      <c r="D129" s="968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66">
        <f t="shared" si="43"/>
        <v>602</v>
      </c>
      <c r="C130" s="967">
        <f t="shared" si="43"/>
        <v>0</v>
      </c>
      <c r="D130" s="968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66">
        <f t="shared" si="43"/>
        <v>603</v>
      </c>
      <c r="C131" s="967">
        <f t="shared" si="43"/>
        <v>0</v>
      </c>
      <c r="D131" s="968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66">
        <f t="shared" si="43"/>
        <v>604</v>
      </c>
      <c r="C132" s="967">
        <f t="shared" si="43"/>
        <v>0</v>
      </c>
      <c r="D132" s="968">
        <f t="shared" si="43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66">
        <f t="shared" si="43"/>
        <v>605</v>
      </c>
      <c r="C133" s="967">
        <f t="shared" si="43"/>
        <v>0</v>
      </c>
      <c r="D133" s="968">
        <f t="shared" si="43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66">
        <f t="shared" si="43"/>
        <v>606</v>
      </c>
      <c r="C134" s="967">
        <f t="shared" si="43"/>
        <v>0</v>
      </c>
      <c r="D134" s="968">
        <f t="shared" si="43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93" t="str">
        <f t="shared" si="43"/>
        <v>230 / 231</v>
      </c>
      <c r="C135" s="994">
        <f t="shared" si="43"/>
        <v>0</v>
      </c>
      <c r="D135" s="995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66">
        <f t="shared" si="43"/>
        <v>609</v>
      </c>
      <c r="C136" s="967">
        <f t="shared" si="43"/>
        <v>0</v>
      </c>
      <c r="D136" s="968">
        <f t="shared" si="43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3"/>
        <v>Interesa per kredi direkte ose bono</v>
      </c>
      <c r="B137" s="996">
        <f t="shared" si="43"/>
        <v>650</v>
      </c>
      <c r="C137" s="997">
        <f t="shared" si="43"/>
        <v>0</v>
      </c>
      <c r="D137" s="998">
        <f t="shared" si="43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2">A66</f>
        <v>Nënfunksioni 26</v>
      </c>
      <c r="B144" s="962" t="str">
        <f t="shared" si="52"/>
        <v>105 Papunësia</v>
      </c>
      <c r="C144" s="962">
        <f t="shared" si="52"/>
        <v>0</v>
      </c>
      <c r="D144" s="962">
        <f t="shared" si="52"/>
        <v>0</v>
      </c>
      <c r="E144" s="962">
        <f t="shared" si="52"/>
        <v>0</v>
      </c>
      <c r="F144" s="962">
        <f t="shared" si="52"/>
        <v>0</v>
      </c>
      <c r="G144" s="962">
        <f t="shared" si="52"/>
        <v>0</v>
      </c>
      <c r="H144" s="962">
        <f t="shared" si="52"/>
        <v>0</v>
      </c>
      <c r="I144" s="962">
        <f t="shared" si="52"/>
        <v>0</v>
      </c>
      <c r="J144" s="962">
        <f t="shared" si="52"/>
        <v>0</v>
      </c>
      <c r="K144" s="962">
        <f t="shared" si="52"/>
        <v>0</v>
      </c>
      <c r="L144" s="962">
        <f t="shared" si="52"/>
        <v>0</v>
      </c>
      <c r="M144" s="962">
        <f t="shared" si="52"/>
        <v>0</v>
      </c>
      <c r="N144" s="962">
        <f t="shared" si="52"/>
        <v>0</v>
      </c>
      <c r="O144" s="962">
        <f t="shared" si="52"/>
        <v>0</v>
      </c>
    </row>
    <row r="145" spans="1:15" ht="17.25" customHeight="1" x14ac:dyDescent="0.2">
      <c r="A145" s="276" t="str">
        <f>A8</f>
        <v>Programi 27c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Funksionale'!B138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3">A69</f>
        <v>SHPENZIME TË PRITSHME</v>
      </c>
      <c r="B147" s="990">
        <f t="shared" si="53"/>
        <v>0</v>
      </c>
      <c r="C147" s="990">
        <f t="shared" si="53"/>
        <v>0</v>
      </c>
      <c r="D147" s="990">
        <f t="shared" si="53"/>
        <v>0</v>
      </c>
      <c r="E147" s="990">
        <f t="shared" si="53"/>
        <v>0</v>
      </c>
      <c r="F147" s="990">
        <f t="shared" si="53"/>
        <v>0</v>
      </c>
      <c r="G147" s="991">
        <f t="shared" si="53"/>
        <v>0</v>
      </c>
      <c r="H147" s="131"/>
      <c r="I147" s="992" t="str">
        <f t="shared" ref="I147:O147" si="54">I69</f>
        <v xml:space="preserve">TË ARDHURAT E PRITSHME </v>
      </c>
      <c r="J147" s="990">
        <f t="shared" si="54"/>
        <v>0</v>
      </c>
      <c r="K147" s="990">
        <f t="shared" si="54"/>
        <v>0</v>
      </c>
      <c r="L147" s="990">
        <f t="shared" si="54"/>
        <v>0</v>
      </c>
      <c r="M147" s="990">
        <f t="shared" si="54"/>
        <v>0</v>
      </c>
      <c r="N147" s="990">
        <f t="shared" si="54"/>
        <v>0</v>
      </c>
      <c r="O147" s="991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7">I72</f>
        <v>VLERËSIM I ARDHURAVE NGA TARIFAT</v>
      </c>
      <c r="J150" s="964">
        <f t="shared" si="57"/>
        <v>0</v>
      </c>
      <c r="K150" s="964">
        <f t="shared" si="57"/>
        <v>0</v>
      </c>
      <c r="L150" s="964">
        <f t="shared" si="57"/>
        <v>0</v>
      </c>
      <c r="M150" s="964">
        <f t="shared" si="57"/>
        <v>0</v>
      </c>
      <c r="N150" s="964">
        <f t="shared" si="57"/>
        <v>0</v>
      </c>
      <c r="O150" s="965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8">A74</f>
        <v>SHPENZIME TË PRITSHME</v>
      </c>
      <c r="B152" s="970">
        <f t="shared" si="58"/>
        <v>0</v>
      </c>
      <c r="C152" s="970">
        <f t="shared" si="58"/>
        <v>0</v>
      </c>
      <c r="D152" s="970">
        <f t="shared" si="58"/>
        <v>0</v>
      </c>
      <c r="E152" s="970">
        <f t="shared" si="58"/>
        <v>0</v>
      </c>
      <c r="F152" s="970">
        <f t="shared" si="58"/>
        <v>0</v>
      </c>
      <c r="G152" s="971">
        <f t="shared" si="58"/>
        <v>0</v>
      </c>
      <c r="H152" s="10"/>
    </row>
    <row r="153" spans="1:15" ht="12.75" x14ac:dyDescent="0.2">
      <c r="A153" s="963" t="str">
        <f t="shared" si="58"/>
        <v>KOSTO DIREKTE PËR PROJEKTET DHE SHPENZIMET KAPITALE</v>
      </c>
      <c r="B153" s="964">
        <f t="shared" si="58"/>
        <v>0</v>
      </c>
      <c r="C153" s="964">
        <f t="shared" si="58"/>
        <v>0</v>
      </c>
      <c r="D153" s="964">
        <f t="shared" si="58"/>
        <v>0</v>
      </c>
      <c r="E153" s="964">
        <f t="shared" si="58"/>
        <v>0</v>
      </c>
      <c r="F153" s="964">
        <f t="shared" si="58"/>
        <v>0</v>
      </c>
      <c r="G153" s="965">
        <f t="shared" si="58"/>
        <v>0</v>
      </c>
      <c r="H153" s="31"/>
      <c r="I153" s="963" t="str">
        <f t="shared" ref="I153:I158" si="59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0">A76</f>
        <v>Pagat</v>
      </c>
      <c r="B154" s="966">
        <f t="shared" si="60"/>
        <v>600</v>
      </c>
      <c r="C154" s="967">
        <f t="shared" si="60"/>
        <v>0</v>
      </c>
      <c r="D154" s="968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66">
        <f t="shared" si="60"/>
        <v>601</v>
      </c>
      <c r="C155" s="967">
        <f t="shared" si="60"/>
        <v>0</v>
      </c>
      <c r="D155" s="968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66">
        <f t="shared" si="60"/>
        <v>602</v>
      </c>
      <c r="C156" s="967">
        <f t="shared" si="60"/>
        <v>0</v>
      </c>
      <c r="D156" s="968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66">
        <f t="shared" si="60"/>
        <v>603</v>
      </c>
      <c r="C157" s="967">
        <f t="shared" si="60"/>
        <v>0</v>
      </c>
      <c r="D157" s="968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66">
        <f t="shared" si="60"/>
        <v>604</v>
      </c>
      <c r="C158" s="967">
        <f t="shared" si="60"/>
        <v>0</v>
      </c>
      <c r="D158" s="968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66">
        <f t="shared" si="60"/>
        <v>605</v>
      </c>
      <c r="C159" s="967">
        <f t="shared" si="60"/>
        <v>0</v>
      </c>
      <c r="D159" s="968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66">
        <f t="shared" si="60"/>
        <v>606</v>
      </c>
      <c r="C160" s="967">
        <f t="shared" si="60"/>
        <v>0</v>
      </c>
      <c r="D160" s="968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66" t="str">
        <f t="shared" si="60"/>
        <v>230 / 231</v>
      </c>
      <c r="C161" s="967">
        <f t="shared" si="60"/>
        <v>0</v>
      </c>
      <c r="D161" s="968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66">
        <f t="shared" si="60"/>
        <v>609</v>
      </c>
      <c r="C162" s="967">
        <f t="shared" si="60"/>
        <v>0</v>
      </c>
      <c r="D162" s="968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66">
        <f t="shared" si="60"/>
        <v>650</v>
      </c>
      <c r="C163" s="967">
        <f t="shared" si="60"/>
        <v>0</v>
      </c>
      <c r="D163" s="968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66" t="str">
        <f t="shared" si="60"/>
        <v>69 / ?</v>
      </c>
      <c r="C164" s="967">
        <f t="shared" si="60"/>
        <v>0</v>
      </c>
      <c r="D164" s="968">
        <f t="shared" si="60"/>
        <v>0</v>
      </c>
      <c r="E164" s="129"/>
      <c r="F164" s="129"/>
      <c r="G164" s="129"/>
      <c r="H164" s="53"/>
      <c r="I164" s="972" t="str">
        <f t="shared" ref="I164:O165" si="62">I86</f>
        <v>SHUMA E KËRKUAR NETO</v>
      </c>
      <c r="J164" s="973">
        <f t="shared" si="62"/>
        <v>0</v>
      </c>
      <c r="K164" s="973">
        <f t="shared" si="62"/>
        <v>0</v>
      </c>
      <c r="L164" s="973">
        <f t="shared" si="62"/>
        <v>0</v>
      </c>
      <c r="M164" s="973">
        <f t="shared" si="62"/>
        <v>0</v>
      </c>
      <c r="N164" s="973">
        <f t="shared" si="62"/>
        <v>0</v>
      </c>
      <c r="O164" s="974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66">
        <f t="shared" si="60"/>
        <v>0</v>
      </c>
      <c r="C165" s="967">
        <f t="shared" si="60"/>
        <v>0</v>
      </c>
      <c r="D165" s="968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75">
        <f t="shared" si="62"/>
        <v>0</v>
      </c>
      <c r="J165" s="976">
        <f t="shared" si="62"/>
        <v>0</v>
      </c>
      <c r="K165" s="976">
        <f t="shared" si="62"/>
        <v>0</v>
      </c>
      <c r="L165" s="976">
        <f t="shared" si="62"/>
        <v>0</v>
      </c>
      <c r="M165" s="976">
        <f t="shared" si="62"/>
        <v>0</v>
      </c>
      <c r="N165" s="976">
        <f t="shared" si="62"/>
        <v>0</v>
      </c>
      <c r="O165" s="977">
        <f t="shared" si="62"/>
        <v>0</v>
      </c>
    </row>
    <row r="166" spans="1:15" ht="12.75" x14ac:dyDescent="0.2">
      <c r="A166" s="963" t="str">
        <f t="shared" si="60"/>
        <v>SHPENZIME KORRENTE</v>
      </c>
      <c r="B166" s="964">
        <f t="shared" si="60"/>
        <v>0</v>
      </c>
      <c r="C166" s="964">
        <f t="shared" si="60"/>
        <v>0</v>
      </c>
      <c r="D166" s="964">
        <f t="shared" si="60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66">
        <f t="shared" si="60"/>
        <v>600</v>
      </c>
      <c r="C167" s="967">
        <f t="shared" si="60"/>
        <v>0</v>
      </c>
      <c r="D167" s="968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66">
        <f t="shared" si="60"/>
        <v>601</v>
      </c>
      <c r="C168" s="967">
        <f t="shared" si="60"/>
        <v>0</v>
      </c>
      <c r="D168" s="968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66">
        <f t="shared" si="60"/>
        <v>602</v>
      </c>
      <c r="C169" s="967">
        <f t="shared" si="60"/>
        <v>0</v>
      </c>
      <c r="D169" s="968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66">
        <f t="shared" si="60"/>
        <v>603</v>
      </c>
      <c r="C170" s="967">
        <f t="shared" si="60"/>
        <v>0</v>
      </c>
      <c r="D170" s="968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66">
        <f t="shared" si="60"/>
        <v>604</v>
      </c>
      <c r="C171" s="967">
        <f t="shared" si="60"/>
        <v>0</v>
      </c>
      <c r="D171" s="968">
        <f t="shared" si="60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66">
        <f t="shared" si="60"/>
        <v>605</v>
      </c>
      <c r="C172" s="967">
        <f t="shared" si="60"/>
        <v>0</v>
      </c>
      <c r="D172" s="968">
        <f t="shared" si="60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66">
        <f t="shared" si="60"/>
        <v>606</v>
      </c>
      <c r="C173" s="967">
        <f t="shared" si="60"/>
        <v>0</v>
      </c>
      <c r="D173" s="968">
        <f t="shared" si="60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93" t="str">
        <f t="shared" si="60"/>
        <v>230 / 231</v>
      </c>
      <c r="C174" s="994">
        <f t="shared" si="60"/>
        <v>0</v>
      </c>
      <c r="D174" s="995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66">
        <f t="shared" si="60"/>
        <v>609</v>
      </c>
      <c r="C175" s="967">
        <f t="shared" si="60"/>
        <v>0</v>
      </c>
      <c r="D175" s="968">
        <f t="shared" si="60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0"/>
        <v>Interesa per kredi direkte ose bono</v>
      </c>
      <c r="B176" s="996">
        <f t="shared" si="60"/>
        <v>650</v>
      </c>
      <c r="C176" s="997">
        <f t="shared" si="60"/>
        <v>0</v>
      </c>
      <c r="D176" s="998">
        <f t="shared" si="60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QQhYgx9yHWc5Fvv+OT24p+SSL/Gl6AmZP7uzhOF1n7s0gSypNF7GKEX8eOZbmgDmIQC6Emz9nL1wRCJ4Haaz2g==" saltValue="0MH9LfvQLima5lQYwIt+C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156" zoomScaleNormal="10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33" t="str">
        <f>'(B2) Struktura Organizative'!B5</f>
        <v>Emri i Nënfunksionit</v>
      </c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s="121" customFormat="1" ht="18.75" customHeight="1" x14ac:dyDescent="0.25">
      <c r="A2" s="310" t="str">
        <f>'(G1) Fjalori'!A91</f>
        <v>Nënfunksioni 27</v>
      </c>
      <c r="B2" s="860" t="str">
        <f>+VLOOKUP($A2,'(B2) Struktura Organizative'!$A7:$E68,2,FALSE)</f>
        <v>106 Strehimi social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1:15" ht="12.75" customHeight="1" x14ac:dyDescent="0.2">
      <c r="A3" s="950" t="str">
        <f>'(B2) Struktura Organizative'!C5</f>
        <v>Drejtoria / Departamenti</v>
      </c>
      <c r="B3" s="951"/>
      <c r="C3" s="950" t="str">
        <f>'(B2) Struktura Organizative'!D5</f>
        <v>Kryetari i programit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1"/>
    </row>
    <row r="4" spans="1:15" ht="12.75" customHeight="1" x14ac:dyDescent="0.2">
      <c r="A4" s="953"/>
      <c r="B4" s="954"/>
      <c r="C4" s="955">
        <f>+VLOOKUP($A2,'(B2) Struktura Organizative'!$A7:$E68,4,FALSE)</f>
        <v>0</v>
      </c>
      <c r="D4" s="956"/>
      <c r="E4" s="956"/>
      <c r="F4" s="956"/>
      <c r="G4" s="956"/>
      <c r="H4" s="956"/>
      <c r="I4" s="956"/>
      <c r="J4" s="956"/>
      <c r="K4" s="956"/>
      <c r="L4" s="956"/>
      <c r="M4" s="956"/>
      <c r="N4" s="956"/>
      <c r="O4" s="957"/>
    </row>
    <row r="5" spans="1:15" ht="27" customHeight="1" x14ac:dyDescent="0.2">
      <c r="A5" s="944"/>
      <c r="B5" s="945"/>
      <c r="C5" s="946" t="str">
        <f>'(B3) Struktura Funksionale'!C5</f>
        <v>Emri i programit</v>
      </c>
      <c r="D5" s="947"/>
      <c r="E5" s="947"/>
      <c r="F5" s="947"/>
      <c r="G5" s="947"/>
      <c r="H5" s="948"/>
      <c r="I5" s="946" t="str">
        <f>'(B3) Struktura Funksionale'!D5</f>
        <v>Programi:  detyrueshme / shtesë</v>
      </c>
      <c r="J5" s="947"/>
      <c r="K5" s="948"/>
      <c r="L5" s="949" t="str">
        <f>'(B3) Struktura Funksionale'!E5</f>
        <v>Programi: I veti / I deleguar / Transferuar</v>
      </c>
      <c r="M5" s="949"/>
      <c r="N5" s="949"/>
      <c r="O5" s="949"/>
    </row>
    <row r="6" spans="1:15" ht="13.5" customHeight="1" x14ac:dyDescent="0.2">
      <c r="A6" s="939" t="str">
        <f>'(B3) Struktura Funksionale'!A140</f>
        <v>Programi 28a</v>
      </c>
      <c r="B6" s="940"/>
      <c r="C6" s="941" t="str">
        <f>VLOOKUP($A6,'(B3) Struktura Funksionale'!$A$7:$E$146,3,FALSE)</f>
        <v>Strehimi social</v>
      </c>
      <c r="D6" s="942"/>
      <c r="E6" s="942"/>
      <c r="F6" s="942"/>
      <c r="G6" s="942"/>
      <c r="H6" s="943"/>
      <c r="I6" s="941" t="str">
        <f>VLOOKUP($A6,'(B3) Struktura Funksionale'!$A$7:$E$146,4,FALSE)</f>
        <v>E detyrueshme</v>
      </c>
      <c r="J6" s="942"/>
      <c r="K6" s="943"/>
      <c r="L6" s="941" t="str">
        <f>VLOOKUP($A6,'(B3) Struktura Funksionale'!$A$7:$E$146,5,FALSE)</f>
        <v>I veti</v>
      </c>
      <c r="M6" s="942"/>
      <c r="N6" s="942"/>
      <c r="O6" s="943"/>
    </row>
    <row r="7" spans="1:15" ht="13.5" customHeight="1" x14ac:dyDescent="0.2">
      <c r="A7" s="939" t="str">
        <f>'(B3) Struktura Funksionale'!A141</f>
        <v>Programi 28b</v>
      </c>
      <c r="B7" s="940"/>
      <c r="C7" s="941">
        <f>VLOOKUP($A7,'(B3) Struktura Funksionale'!$A$7:$E$146,3,FALSE)</f>
        <v>0</v>
      </c>
      <c r="D7" s="942"/>
      <c r="E7" s="942"/>
      <c r="F7" s="942"/>
      <c r="G7" s="942"/>
      <c r="H7" s="943"/>
      <c r="I7" s="941">
        <f>VLOOKUP($A7,'(B3) Struktura Funksionale'!$A$7:$E$146,4,FALSE)</f>
        <v>0</v>
      </c>
      <c r="J7" s="942"/>
      <c r="K7" s="943"/>
      <c r="L7" s="941">
        <f>VLOOKUP($A7,'(B3) Struktura Funksionale'!$A$7:$E$146,5,FALSE)</f>
        <v>0</v>
      </c>
      <c r="M7" s="942"/>
      <c r="N7" s="942"/>
      <c r="O7" s="943"/>
    </row>
    <row r="8" spans="1:15" ht="13.5" customHeight="1" x14ac:dyDescent="0.2">
      <c r="A8" s="939" t="str">
        <f>'(B3) Struktura Funksionale'!A142</f>
        <v>Programi 28c</v>
      </c>
      <c r="B8" s="940"/>
      <c r="C8" s="941">
        <f>VLOOKUP($A8,'(B3) Struktura Funksionale'!$A$7:$E$146,3,FALSE)</f>
        <v>0</v>
      </c>
      <c r="D8" s="942"/>
      <c r="E8" s="942"/>
      <c r="F8" s="942"/>
      <c r="G8" s="942"/>
      <c r="H8" s="943"/>
      <c r="I8" s="941">
        <f>VLOOKUP($A8,'(B3) Struktura Funksionale'!$A$7:$E$146,4,FALSE)</f>
        <v>0</v>
      </c>
      <c r="J8" s="942"/>
      <c r="K8" s="943"/>
      <c r="L8" s="941">
        <f>VLOOKUP($A8,'(B3) Struktura Funksionale'!$A$7:$E$146,5,FALSE)</f>
        <v>0</v>
      </c>
      <c r="M8" s="942"/>
      <c r="N8" s="942"/>
      <c r="O8" s="943"/>
    </row>
    <row r="9" spans="1:15" ht="13.5" hidden="1" customHeight="1" x14ac:dyDescent="0.2">
      <c r="A9" s="939"/>
      <c r="B9" s="940"/>
      <c r="C9" s="941"/>
      <c r="D9" s="942"/>
      <c r="E9" s="942"/>
      <c r="F9" s="942"/>
      <c r="G9" s="942"/>
      <c r="H9" s="943"/>
      <c r="I9" s="941"/>
      <c r="J9" s="942"/>
      <c r="K9" s="943"/>
      <c r="L9" s="941"/>
      <c r="M9" s="942"/>
      <c r="N9" s="942"/>
      <c r="O9" s="943"/>
    </row>
    <row r="10" spans="1:15" ht="13.5" hidden="1" customHeight="1" x14ac:dyDescent="0.2">
      <c r="A10" s="939"/>
      <c r="B10" s="940"/>
      <c r="C10" s="941"/>
      <c r="D10" s="942"/>
      <c r="E10" s="942"/>
      <c r="F10" s="942"/>
      <c r="G10" s="942"/>
      <c r="H10" s="943"/>
      <c r="I10" s="941"/>
      <c r="J10" s="942"/>
      <c r="K10" s="943"/>
      <c r="L10" s="941"/>
      <c r="M10" s="942"/>
      <c r="N10" s="942"/>
      <c r="O10" s="943"/>
    </row>
    <row r="11" spans="1:15" ht="13.5" hidden="1" customHeight="1" x14ac:dyDescent="0.2">
      <c r="A11" s="939"/>
      <c r="B11" s="940"/>
      <c r="C11" s="941"/>
      <c r="D11" s="942"/>
      <c r="E11" s="942"/>
      <c r="F11" s="942"/>
      <c r="G11" s="942"/>
      <c r="H11" s="943"/>
      <c r="I11" s="941"/>
      <c r="J11" s="942"/>
      <c r="K11" s="943"/>
      <c r="L11" s="941"/>
      <c r="M11" s="942"/>
      <c r="N11" s="942"/>
      <c r="O11" s="943"/>
    </row>
    <row r="12" spans="1:15" ht="11.25" customHeight="1" x14ac:dyDescent="0.2"/>
    <row r="13" spans="1:15" ht="21" customHeight="1" x14ac:dyDescent="0.25">
      <c r="A13" s="958" t="str">
        <f>'(G1) Fjalori'!A359</f>
        <v>PËRMBLEDHJE E KËRKESËS BUXHETORE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  <c r="L13" s="960"/>
      <c r="M13" s="960"/>
      <c r="N13" s="960"/>
      <c r="O13" s="961"/>
    </row>
    <row r="14" spans="1:15" s="214" customFormat="1" ht="21" customHeight="1" x14ac:dyDescent="0.25">
      <c r="A14" s="213" t="str">
        <f>A2</f>
        <v>Nënfunksioni 27</v>
      </c>
      <c r="B14" s="962" t="str">
        <f>B$2</f>
        <v>106 Strehimi social</v>
      </c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I29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8"/>
      <c r="B17" s="978"/>
      <c r="C17" s="978"/>
      <c r="D17" s="978"/>
      <c r="E17" s="978"/>
      <c r="F17" s="978"/>
      <c r="G17" s="978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414697</v>
      </c>
      <c r="C18" s="34">
        <f t="shared" si="1"/>
        <v>414597</v>
      </c>
      <c r="D18" s="34">
        <f t="shared" si="1"/>
        <v>414697</v>
      </c>
      <c r="E18" s="129">
        <f t="shared" si="1"/>
        <v>530000</v>
      </c>
      <c r="F18" s="129">
        <f t="shared" si="1"/>
        <v>532000</v>
      </c>
      <c r="G18" s="129">
        <f t="shared" si="1"/>
        <v>531408</v>
      </c>
      <c r="H18" s="131"/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/>
      <c r="F20" s="970"/>
      <c r="G20" s="971"/>
      <c r="H20" s="10"/>
    </row>
    <row r="21" spans="1:15" ht="12.75" customHeight="1" x14ac:dyDescent="0.2">
      <c r="A21" s="963" t="str">
        <f>'(G1) Fjalori'!A382</f>
        <v>KOSTO DIREKTE PËR PROJEKTET DHE SHPENZIMET KAPITALE</v>
      </c>
      <c r="B21" s="964"/>
      <c r="C21" s="964"/>
      <c r="D21" s="964"/>
      <c r="E21" s="964"/>
      <c r="F21" s="964"/>
      <c r="G21" s="965"/>
      <c r="H21" s="31"/>
    </row>
    <row r="22" spans="1:15" ht="12.75" customHeight="1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63" t="str">
        <f>'(G1) Fjalori'!A389</f>
        <v>VLERËSIMI I TË ARDHURAVE ME DESTINACION</v>
      </c>
      <c r="J22" s="964"/>
      <c r="K22" s="964"/>
      <c r="L22" s="964"/>
      <c r="M22" s="964"/>
      <c r="N22" s="964"/>
      <c r="O22" s="965"/>
    </row>
    <row r="23" spans="1:15" ht="12.75" customHeight="1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81"/>
      <c r="K23" s="978"/>
      <c r="L23" s="982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83"/>
      <c r="K24" s="984"/>
      <c r="L24" s="985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83"/>
      <c r="K25" s="984"/>
      <c r="L25" s="985"/>
      <c r="M25" s="302">
        <f t="shared" si="4"/>
        <v>0</v>
      </c>
      <c r="N25" s="548">
        <f t="shared" si="4"/>
        <v>0</v>
      </c>
      <c r="O25" s="548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86"/>
      <c r="K26" s="987"/>
      <c r="L26" s="988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320750</v>
      </c>
      <c r="K27" s="34">
        <f>K80+K119+K158+K196+K234+K272</f>
        <v>320750</v>
      </c>
      <c r="L27" s="34">
        <f>L80+L119+L158+L196+L234+L272</f>
        <v>324378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320750</v>
      </c>
      <c r="K29" s="34">
        <f t="shared" si="5"/>
        <v>320750</v>
      </c>
      <c r="L29" s="34">
        <f t="shared" si="5"/>
        <v>324378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/>
    </row>
    <row r="33" spans="1:15" ht="12.75" customHeight="1" x14ac:dyDescent="0.2">
      <c r="A33" s="306" t="str">
        <f>A21</f>
        <v>KOSTO DIREKTE PËR PROJEKTET DHE SHPENZIMET KAPITALE</v>
      </c>
      <c r="B33" s="966"/>
      <c r="C33" s="967"/>
      <c r="D33" s="968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75"/>
      <c r="J33" s="976"/>
      <c r="K33" s="976"/>
      <c r="L33" s="976"/>
      <c r="M33" s="976"/>
      <c r="N33" s="976"/>
      <c r="O33" s="977"/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/>
      <c r="F34" s="964"/>
      <c r="G34" s="965"/>
      <c r="H34" s="53"/>
      <c r="I34" s="17" t="str">
        <f>I32</f>
        <v>SHUMA E KËRKUAR NETO</v>
      </c>
      <c r="J34" s="18">
        <f t="shared" ref="J34:O34" si="6">J88+J127+J166+J204+J242+J280</f>
        <v>93947</v>
      </c>
      <c r="K34" s="18">
        <f t="shared" si="6"/>
        <v>93847</v>
      </c>
      <c r="L34" s="18">
        <f t="shared" si="6"/>
        <v>90319</v>
      </c>
      <c r="M34" s="18">
        <f t="shared" si="6"/>
        <v>530000</v>
      </c>
      <c r="N34" s="18">
        <f t="shared" si="6"/>
        <v>532000</v>
      </c>
      <c r="O34" s="18">
        <f t="shared" si="6"/>
        <v>531408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66">
        <f t="shared" ref="B36:B45" si="9">B23</f>
        <v>601</v>
      </c>
      <c r="C36" s="967"/>
      <c r="D36" s="968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66">
        <f t="shared" si="9"/>
        <v>602</v>
      </c>
      <c r="C37" s="967"/>
      <c r="D37" s="968"/>
      <c r="E37" s="305">
        <f t="shared" si="7"/>
        <v>530000</v>
      </c>
      <c r="F37" s="305">
        <f t="shared" si="7"/>
        <v>532000</v>
      </c>
      <c r="G37" s="305">
        <f t="shared" si="7"/>
        <v>531408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66">
        <f t="shared" si="9"/>
        <v>603</v>
      </c>
      <c r="C38" s="967"/>
      <c r="D38" s="968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66">
        <f t="shared" si="9"/>
        <v>604</v>
      </c>
      <c r="C39" s="967"/>
      <c r="D39" s="968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66">
        <f t="shared" si="9"/>
        <v>605</v>
      </c>
      <c r="C40" s="967"/>
      <c r="D40" s="968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66">
        <f t="shared" si="9"/>
        <v>606</v>
      </c>
      <c r="C41" s="967"/>
      <c r="D41" s="968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23"/>
      <c r="K41" s="1023"/>
      <c r="L41" s="1023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93" t="str">
        <f t="shared" si="9"/>
        <v>230 / 231</v>
      </c>
      <c r="C42" s="994"/>
      <c r="D42" s="995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66">
        <f t="shared" si="9"/>
        <v>609</v>
      </c>
      <c r="C43" s="967"/>
      <c r="D43" s="968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8"/>
        <v>Interesa per kredi direkte ose bono</v>
      </c>
      <c r="B44" s="996">
        <f t="shared" si="9"/>
        <v>650</v>
      </c>
      <c r="C44" s="997"/>
      <c r="D44" s="998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11"/>
      <c r="K44" s="1012"/>
      <c r="L44" s="1012"/>
      <c r="M44" s="1012"/>
      <c r="N44" s="1012"/>
      <c r="O44" s="1013"/>
    </row>
    <row r="45" spans="1:15" ht="12.75" customHeight="1" x14ac:dyDescent="0.2">
      <c r="A45" s="252" t="str">
        <f t="shared" si="8"/>
        <v>Të tjera</v>
      </c>
      <c r="B45" s="966" t="str">
        <f t="shared" si="9"/>
        <v>69 / ?</v>
      </c>
      <c r="C45" s="967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11"/>
      <c r="K45" s="1012"/>
      <c r="L45" s="1012"/>
      <c r="M45" s="1012"/>
      <c r="N45" s="1012"/>
      <c r="O45" s="1013"/>
    </row>
    <row r="46" spans="1:15" ht="12.75" customHeight="1" x14ac:dyDescent="0.2">
      <c r="A46" s="124" t="str">
        <f>A34</f>
        <v>SHPENZIME KORRENTE</v>
      </c>
      <c r="B46" s="999"/>
      <c r="C46" s="1000"/>
      <c r="D46" s="1001"/>
      <c r="E46" s="129">
        <f t="shared" si="7"/>
        <v>530000</v>
      </c>
      <c r="F46" s="129">
        <f t="shared" si="7"/>
        <v>532000</v>
      </c>
      <c r="G46" s="129">
        <f t="shared" si="7"/>
        <v>531408</v>
      </c>
      <c r="H46" s="53"/>
      <c r="J46" s="1011"/>
      <c r="K46" s="1012"/>
      <c r="L46" s="1012"/>
      <c r="M46" s="1012"/>
      <c r="N46" s="1012"/>
      <c r="O46" s="1013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414697</v>
      </c>
      <c r="C48" s="34">
        <f t="shared" si="11"/>
        <v>414597</v>
      </c>
      <c r="D48" s="34">
        <f t="shared" si="11"/>
        <v>414697</v>
      </c>
      <c r="E48" s="129">
        <f t="shared" si="11"/>
        <v>530000</v>
      </c>
      <c r="F48" s="129">
        <f t="shared" si="11"/>
        <v>532000</v>
      </c>
      <c r="G48" s="129">
        <f t="shared" si="11"/>
        <v>531408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3.25" customHeight="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VLOOKUP($A14,'(D1) Tavanet buxhetore'!$A$7:$R$473,7,FALSE)</f>
        <v>530000</v>
      </c>
      <c r="N52" s="138">
        <f>VLOOKUP($A14,'(D1) Tavanet buxhetore'!$A$7:$R$473,8,FALSE)</f>
        <v>532000</v>
      </c>
      <c r="O52" s="673">
        <f>VLOOKUP($A14,'(D1) Tavanet buxhetore'!$A$7:$R$473,9,FALSE)</f>
        <v>531408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E18</f>
        <v>530000</v>
      </c>
      <c r="N53" s="139">
        <f t="shared" ref="N53:O53" si="13">F18</f>
        <v>532000</v>
      </c>
      <c r="O53" s="674">
        <f t="shared" si="13"/>
        <v>531408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VLOOKUP($A14,'(D1) Tavanet buxhetore'!$A$7:$R$473,13,FALSE)</f>
        <v>530000</v>
      </c>
      <c r="N58" s="138">
        <f>VLOOKUP($A14,'(D1) Tavanet buxhetore'!$A$7:$R$473,14,FALSE)</f>
        <v>532000</v>
      </c>
      <c r="O58" s="673">
        <f>VLOOKUP($A14,'(D1) Tavanet buxhetore'!$A$7:$R$473,15,FALSE)</f>
        <v>531408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M53-M56-M62</f>
        <v>530000</v>
      </c>
      <c r="N59" s="139">
        <f>N53-N56-N62</f>
        <v>532000</v>
      </c>
      <c r="O59" s="674">
        <f>O53-O56-O62</f>
        <v>531408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62" t="str">
        <f t="shared" si="20"/>
        <v>106 Strehimi social</v>
      </c>
      <c r="C66" s="962">
        <f t="shared" si="20"/>
        <v>0</v>
      </c>
      <c r="D66" s="962">
        <f t="shared" si="20"/>
        <v>0</v>
      </c>
      <c r="E66" s="962">
        <f t="shared" si="20"/>
        <v>0</v>
      </c>
      <c r="F66" s="962">
        <f t="shared" si="20"/>
        <v>0</v>
      </c>
      <c r="G66" s="962">
        <f t="shared" si="20"/>
        <v>0</v>
      </c>
      <c r="H66" s="962">
        <f t="shared" si="20"/>
        <v>0</v>
      </c>
      <c r="I66" s="962">
        <f t="shared" si="20"/>
        <v>0</v>
      </c>
      <c r="J66" s="962">
        <f t="shared" si="20"/>
        <v>0</v>
      </c>
      <c r="K66" s="962">
        <f t="shared" si="20"/>
        <v>0</v>
      </c>
      <c r="L66" s="962">
        <f t="shared" si="20"/>
        <v>0</v>
      </c>
      <c r="M66" s="962">
        <f t="shared" si="20"/>
        <v>0</v>
      </c>
      <c r="N66" s="962">
        <f t="shared" si="20"/>
        <v>0</v>
      </c>
      <c r="O66" s="962">
        <f t="shared" si="20"/>
        <v>0</v>
      </c>
    </row>
    <row r="67" spans="1:15" ht="17.25" customHeight="1" x14ac:dyDescent="0.2">
      <c r="A67" s="276" t="str">
        <f>A6</f>
        <v>Programi 28a</v>
      </c>
      <c r="B67" s="962" t="str">
        <f>C6</f>
        <v>Strehimi social</v>
      </c>
      <c r="C67" s="962" t="e">
        <f>#REF!</f>
        <v>#REF!</v>
      </c>
      <c r="D67" s="962" t="e">
        <f>#REF!</f>
        <v>#REF!</v>
      </c>
      <c r="E67" s="962" t="e">
        <f>#REF!</f>
        <v>#REF!</v>
      </c>
      <c r="F67" s="962" t="e">
        <f>#REF!</f>
        <v>#REF!</v>
      </c>
      <c r="G67" s="962" t="e">
        <f>#REF!</f>
        <v>#REF!</v>
      </c>
      <c r="H67" s="962" t="e">
        <f>#REF!</f>
        <v>#REF!</v>
      </c>
      <c r="I67" s="962" t="e">
        <f>#REF!</f>
        <v>#REF!</v>
      </c>
      <c r="J67" s="962" t="e">
        <f>#REF!</f>
        <v>#REF!</v>
      </c>
      <c r="K67" s="962" t="e">
        <f>#REF!</f>
        <v>#REF!</v>
      </c>
      <c r="L67" s="962" t="e">
        <f>#REF!</f>
        <v>#REF!</v>
      </c>
      <c r="M67" s="962" t="e">
        <f>#REF!</f>
        <v>#REF!</v>
      </c>
      <c r="N67" s="962" t="e">
        <f>#REF!</f>
        <v>#REF!</v>
      </c>
      <c r="O67" s="962" t="e">
        <f>#REF!</f>
        <v>#REF!</v>
      </c>
    </row>
    <row r="68" spans="1:15" ht="17.25" customHeight="1" x14ac:dyDescent="0.2">
      <c r="A68" s="647" t="str">
        <f>'(B3) Struktura Funksionale'!B140</f>
        <v>10661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9" t="str">
        <f t="shared" ref="A69:G69" si="21">A15</f>
        <v>SHPENZIME TË PRITSHME</v>
      </c>
      <c r="B69" s="990">
        <f t="shared" si="21"/>
        <v>0</v>
      </c>
      <c r="C69" s="990">
        <f t="shared" si="21"/>
        <v>0</v>
      </c>
      <c r="D69" s="990">
        <f t="shared" si="21"/>
        <v>0</v>
      </c>
      <c r="E69" s="990">
        <f t="shared" si="21"/>
        <v>0</v>
      </c>
      <c r="F69" s="990">
        <f t="shared" si="21"/>
        <v>0</v>
      </c>
      <c r="G69" s="991">
        <f t="shared" si="21"/>
        <v>0</v>
      </c>
      <c r="H69" s="131"/>
      <c r="I69" s="992" t="str">
        <f t="shared" ref="I69:O69" si="22">I15</f>
        <v xml:space="preserve">TË ARDHURAT E PRITSHME </v>
      </c>
      <c r="J69" s="990">
        <f t="shared" si="22"/>
        <v>0</v>
      </c>
      <c r="K69" s="990">
        <f t="shared" si="22"/>
        <v>0</v>
      </c>
      <c r="L69" s="990">
        <f t="shared" si="22"/>
        <v>0</v>
      </c>
      <c r="M69" s="990">
        <f t="shared" si="22"/>
        <v>0</v>
      </c>
      <c r="N69" s="990">
        <f t="shared" si="22"/>
        <v>0</v>
      </c>
      <c r="O69" s="991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414697</v>
      </c>
      <c r="C72" s="345">
        <f>VLOOKUP(A67,'(C1) Shpenzimet vitet e kaluara'!A$9:O$177,9,FALSE)</f>
        <v>414597</v>
      </c>
      <c r="D72" s="345">
        <f>VLOOKUP(A67,'(C1) Shpenzimet vitet e kaluara'!A$9:O$177,13,FALSE)</f>
        <v>414697</v>
      </c>
      <c r="E72" s="416">
        <v>530000</v>
      </c>
      <c r="F72" s="416">
        <v>532000</v>
      </c>
      <c r="G72" s="416">
        <v>531408</v>
      </c>
      <c r="H72" s="131"/>
      <c r="I72" s="963" t="str">
        <f>I18</f>
        <v>VLERËSIM I ARDHURAVE NGA TARIFAT</v>
      </c>
      <c r="J72" s="964"/>
      <c r="K72" s="964"/>
      <c r="L72" s="964"/>
      <c r="M72" s="964"/>
      <c r="N72" s="964"/>
      <c r="O72" s="965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9" t="str">
        <f t="shared" ref="A74:G75" si="25">A20</f>
        <v>SHPENZIME TË PRITSHME</v>
      </c>
      <c r="B74" s="970">
        <f t="shared" si="25"/>
        <v>0</v>
      </c>
      <c r="C74" s="970">
        <f t="shared" si="25"/>
        <v>0</v>
      </c>
      <c r="D74" s="970">
        <f t="shared" si="25"/>
        <v>0</v>
      </c>
      <c r="E74" s="970">
        <f t="shared" si="25"/>
        <v>0</v>
      </c>
      <c r="F74" s="970">
        <f t="shared" si="25"/>
        <v>0</v>
      </c>
      <c r="G74" s="971">
        <f t="shared" si="25"/>
        <v>0</v>
      </c>
      <c r="H74" s="10"/>
    </row>
    <row r="75" spans="1:15" ht="12.75" x14ac:dyDescent="0.2">
      <c r="A75" s="963" t="str">
        <f t="shared" si="25"/>
        <v>KOSTO DIREKTE PËR PROJEKTET DHE SHPENZIMET KAPITALE</v>
      </c>
      <c r="B75" s="964">
        <f t="shared" si="25"/>
        <v>0</v>
      </c>
      <c r="C75" s="964">
        <f t="shared" si="25"/>
        <v>0</v>
      </c>
      <c r="D75" s="964">
        <f t="shared" si="25"/>
        <v>0</v>
      </c>
      <c r="E75" s="964">
        <f t="shared" si="25"/>
        <v>0</v>
      </c>
      <c r="F75" s="964">
        <f t="shared" si="25"/>
        <v>0</v>
      </c>
      <c r="G75" s="965">
        <f t="shared" si="25"/>
        <v>0</v>
      </c>
      <c r="H75" s="31"/>
      <c r="I75" s="963" t="str">
        <f t="shared" ref="I75:I80" si="26">I22</f>
        <v>VLERËSIMI I TË ARDHURAVE ME DESTINACION</v>
      </c>
      <c r="J75" s="964"/>
      <c r="K75" s="964"/>
      <c r="L75" s="964"/>
      <c r="M75" s="964"/>
      <c r="N75" s="964"/>
      <c r="O75" s="965"/>
    </row>
    <row r="76" spans="1:15" ht="12.75" x14ac:dyDescent="0.2">
      <c r="A76" s="124" t="str">
        <f t="shared" ref="A76:D98" si="27">A22</f>
        <v>Pagat</v>
      </c>
      <c r="B76" s="966">
        <f t="shared" si="27"/>
        <v>600</v>
      </c>
      <c r="C76" s="967">
        <f t="shared" si="27"/>
        <v>0</v>
      </c>
      <c r="D76" s="968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66">
        <f t="shared" si="27"/>
        <v>601</v>
      </c>
      <c r="C77" s="967">
        <f t="shared" si="27"/>
        <v>0</v>
      </c>
      <c r="D77" s="968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66">
        <f t="shared" si="27"/>
        <v>602</v>
      </c>
      <c r="C78" s="967">
        <f t="shared" si="27"/>
        <v>0</v>
      </c>
      <c r="D78" s="968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8">
        <f>VLOOKUP($A67,'(C4) Trashëgimi me destinacion'!$A$8:$F$168,5,FALSE)</f>
        <v>0</v>
      </c>
      <c r="O78" s="548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66">
        <f t="shared" si="27"/>
        <v>603</v>
      </c>
      <c r="C79" s="967">
        <f t="shared" si="27"/>
        <v>0</v>
      </c>
      <c r="D79" s="968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66">
        <f t="shared" si="27"/>
        <v>604</v>
      </c>
      <c r="C80" s="967">
        <f t="shared" si="27"/>
        <v>0</v>
      </c>
      <c r="D80" s="968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320750</v>
      </c>
      <c r="K80" s="35">
        <f>VLOOKUP($A67,'(C1) Shpenzimet vitet e kaluara'!$A$9:$O$177,11,FALSE)</f>
        <v>320750</v>
      </c>
      <c r="L80" s="35">
        <f>VLOOKUP($A67,'(C1) Shpenzimet vitet e kaluara'!$A$9:$O$177,15,FALSE)</f>
        <v>324378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66">
        <f t="shared" si="27"/>
        <v>605</v>
      </c>
      <c r="C81" s="967">
        <f t="shared" si="27"/>
        <v>0</v>
      </c>
      <c r="D81" s="968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66">
        <f t="shared" si="27"/>
        <v>606</v>
      </c>
      <c r="C82" s="967">
        <f t="shared" si="27"/>
        <v>0</v>
      </c>
      <c r="D82" s="968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320750</v>
      </c>
      <c r="K82" s="34">
        <f>K73+K80</f>
        <v>320750</v>
      </c>
      <c r="L82" s="34">
        <f>L73+L80</f>
        <v>324378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66" t="str">
        <f t="shared" si="27"/>
        <v>230 / 231</v>
      </c>
      <c r="C83" s="967">
        <f t="shared" si="27"/>
        <v>0</v>
      </c>
      <c r="D83" s="968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66">
        <f t="shared" si="27"/>
        <v>609</v>
      </c>
      <c r="C84" s="967">
        <f t="shared" si="27"/>
        <v>0</v>
      </c>
      <c r="D84" s="968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66">
        <f t="shared" si="27"/>
        <v>650</v>
      </c>
      <c r="C85" s="967">
        <f t="shared" si="27"/>
        <v>0</v>
      </c>
      <c r="D85" s="968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66" t="str">
        <f t="shared" si="27"/>
        <v>69 / ?</v>
      </c>
      <c r="C86" s="967">
        <f t="shared" si="27"/>
        <v>0</v>
      </c>
      <c r="D86" s="968">
        <f t="shared" si="27"/>
        <v>0</v>
      </c>
      <c r="E86" s="129"/>
      <c r="F86" s="129"/>
      <c r="G86" s="129"/>
      <c r="H86" s="53"/>
      <c r="I86" s="972" t="str">
        <f t="shared" ref="I86:O87" si="29">I32</f>
        <v>SHUMA E KËRKUAR NETO</v>
      </c>
      <c r="J86" s="973">
        <f t="shared" si="29"/>
        <v>0</v>
      </c>
      <c r="K86" s="973">
        <f t="shared" si="29"/>
        <v>0</v>
      </c>
      <c r="L86" s="973">
        <f t="shared" si="29"/>
        <v>0</v>
      </c>
      <c r="M86" s="973">
        <f t="shared" si="29"/>
        <v>0</v>
      </c>
      <c r="N86" s="973">
        <f t="shared" si="29"/>
        <v>0</v>
      </c>
      <c r="O86" s="974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66">
        <f t="shared" si="27"/>
        <v>0</v>
      </c>
      <c r="C87" s="967">
        <f t="shared" si="27"/>
        <v>0</v>
      </c>
      <c r="D87" s="968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75">
        <f t="shared" si="29"/>
        <v>0</v>
      </c>
      <c r="J87" s="976">
        <f t="shared" si="29"/>
        <v>0</v>
      </c>
      <c r="K87" s="976">
        <f t="shared" si="29"/>
        <v>0</v>
      </c>
      <c r="L87" s="976">
        <f t="shared" si="29"/>
        <v>0</v>
      </c>
      <c r="M87" s="976">
        <f t="shared" si="29"/>
        <v>0</v>
      </c>
      <c r="N87" s="976">
        <f t="shared" si="29"/>
        <v>0</v>
      </c>
      <c r="O87" s="977">
        <f t="shared" si="29"/>
        <v>0</v>
      </c>
    </row>
    <row r="88" spans="1:15" ht="12.75" x14ac:dyDescent="0.2">
      <c r="A88" s="963" t="str">
        <f t="shared" si="27"/>
        <v>SHPENZIME KORRENTE</v>
      </c>
      <c r="B88" s="964">
        <f t="shared" si="27"/>
        <v>0</v>
      </c>
      <c r="C88" s="964">
        <f t="shared" si="27"/>
        <v>0</v>
      </c>
      <c r="D88" s="964">
        <f t="shared" si="27"/>
        <v>0</v>
      </c>
      <c r="E88" s="964">
        <f>E34</f>
        <v>0</v>
      </c>
      <c r="F88" s="964">
        <f>F34</f>
        <v>0</v>
      </c>
      <c r="G88" s="965">
        <f>G34</f>
        <v>0</v>
      </c>
      <c r="H88" s="53"/>
      <c r="I88" s="17" t="str">
        <f>I34</f>
        <v>SHUMA E KËRKUAR NETO</v>
      </c>
      <c r="J88" s="18">
        <f t="shared" ref="J88:O88" si="31">B72-J82</f>
        <v>93947</v>
      </c>
      <c r="K88" s="18">
        <f t="shared" si="31"/>
        <v>93847</v>
      </c>
      <c r="L88" s="18">
        <f t="shared" si="31"/>
        <v>90319</v>
      </c>
      <c r="M88" s="18">
        <f t="shared" si="31"/>
        <v>530000</v>
      </c>
      <c r="N88" s="18">
        <f t="shared" si="31"/>
        <v>532000</v>
      </c>
      <c r="O88" s="18">
        <f t="shared" si="31"/>
        <v>531408</v>
      </c>
    </row>
    <row r="89" spans="1:15" ht="12.75" x14ac:dyDescent="0.2">
      <c r="A89" s="124" t="str">
        <f t="shared" si="27"/>
        <v>Pagat</v>
      </c>
      <c r="B89" s="966">
        <f t="shared" si="27"/>
        <v>600</v>
      </c>
      <c r="C89" s="967">
        <f t="shared" si="27"/>
        <v>0</v>
      </c>
      <c r="D89" s="968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66">
        <f t="shared" si="27"/>
        <v>601</v>
      </c>
      <c r="C90" s="967">
        <f t="shared" si="27"/>
        <v>0</v>
      </c>
      <c r="D90" s="968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66">
        <f t="shared" si="27"/>
        <v>602</v>
      </c>
      <c r="C91" s="967">
        <f t="shared" si="27"/>
        <v>0</v>
      </c>
      <c r="D91" s="968">
        <f t="shared" si="27"/>
        <v>0</v>
      </c>
      <c r="E91" s="416">
        <v>530000</v>
      </c>
      <c r="F91" s="416">
        <v>532000</v>
      </c>
      <c r="G91" s="416">
        <v>531408</v>
      </c>
      <c r="H91" s="53"/>
      <c r="I91" s="252" t="str">
        <f>I37</f>
        <v>Angazhimet</v>
      </c>
      <c r="J91" s="1027" t="str">
        <f>J37</f>
        <v>Vlera Totale për Aktivitet</v>
      </c>
      <c r="K91" s="1028"/>
      <c r="L91" s="10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66">
        <f t="shared" si="27"/>
        <v>603</v>
      </c>
      <c r="C92" s="967">
        <f t="shared" si="27"/>
        <v>0</v>
      </c>
      <c r="D92" s="968">
        <f t="shared" si="27"/>
        <v>0</v>
      </c>
      <c r="E92" s="37"/>
      <c r="F92" s="37"/>
      <c r="G92" s="37"/>
      <c r="H92" s="53"/>
      <c r="I92" s="318" t="str">
        <f>I38</f>
        <v>Qëllime</v>
      </c>
      <c r="J92" s="1027" t="str">
        <f>J38</f>
        <v>Shpenzimet kapitale</v>
      </c>
      <c r="K92" s="1028"/>
      <c r="L92" s="10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66">
        <f t="shared" si="27"/>
        <v>604</v>
      </c>
      <c r="C93" s="967">
        <f t="shared" si="27"/>
        <v>0</v>
      </c>
      <c r="D93" s="968">
        <f t="shared" si="27"/>
        <v>0</v>
      </c>
      <c r="E93" s="37"/>
      <c r="F93" s="37"/>
      <c r="G93" s="37"/>
      <c r="H93" s="53"/>
      <c r="I93" s="315"/>
      <c r="J93" s="1027" t="str">
        <f>J39</f>
        <v>Mallra dhe shërbime</v>
      </c>
      <c r="K93" s="1028"/>
      <c r="L93" s="10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66">
        <f t="shared" si="27"/>
        <v>605</v>
      </c>
      <c r="C94" s="967">
        <f t="shared" si="27"/>
        <v>0</v>
      </c>
      <c r="D94" s="968">
        <f t="shared" si="27"/>
        <v>0</v>
      </c>
      <c r="E94" s="37"/>
      <c r="F94" s="37"/>
      <c r="G94" s="37"/>
      <c r="H94" s="53"/>
      <c r="I94" s="315"/>
      <c r="J94" s="1027" t="str">
        <f>J40</f>
        <v>Qëllime të mëtejshme</v>
      </c>
      <c r="K94" s="1028"/>
      <c r="L94" s="10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66">
        <f t="shared" si="27"/>
        <v>606</v>
      </c>
      <c r="C95" s="967">
        <f t="shared" si="27"/>
        <v>0</v>
      </c>
      <c r="D95" s="968">
        <f t="shared" si="27"/>
        <v>0</v>
      </c>
      <c r="E95" s="37"/>
      <c r="F95" s="37"/>
      <c r="G95" s="37"/>
      <c r="H95" s="53"/>
      <c r="I95" s="315"/>
      <c r="J95" s="1023"/>
      <c r="K95" s="1023"/>
      <c r="L95" s="1023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93" t="str">
        <f t="shared" si="27"/>
        <v>230 / 231</v>
      </c>
      <c r="C96" s="994">
        <f t="shared" si="27"/>
        <v>0</v>
      </c>
      <c r="D96" s="995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66">
        <f t="shared" si="27"/>
        <v>609</v>
      </c>
      <c r="C97" s="967">
        <f t="shared" si="27"/>
        <v>0</v>
      </c>
      <c r="D97" s="968">
        <f t="shared" si="27"/>
        <v>0</v>
      </c>
      <c r="E97" s="37"/>
      <c r="F97" s="37"/>
      <c r="G97" s="37"/>
      <c r="H97" s="53"/>
      <c r="I97" s="419">
        <f>M70</f>
        <v>2022</v>
      </c>
      <c r="J97" s="1008"/>
      <c r="K97" s="1009"/>
      <c r="L97" s="1009"/>
      <c r="M97" s="1009"/>
      <c r="N97" s="1009"/>
      <c r="O97" s="1010"/>
    </row>
    <row r="98" spans="1:15" ht="12.75" x14ac:dyDescent="0.2">
      <c r="A98" s="124" t="str">
        <f t="shared" si="27"/>
        <v>Interesa per kredi direkte ose bono</v>
      </c>
      <c r="B98" s="996">
        <f t="shared" si="27"/>
        <v>650</v>
      </c>
      <c r="C98" s="997">
        <f t="shared" si="27"/>
        <v>0</v>
      </c>
      <c r="D98" s="998">
        <f t="shared" si="27"/>
        <v>0</v>
      </c>
      <c r="E98" s="37"/>
      <c r="F98" s="37"/>
      <c r="G98" s="37"/>
      <c r="H98" s="53"/>
      <c r="I98" s="420"/>
      <c r="J98" s="1011"/>
      <c r="K98" s="1012"/>
      <c r="L98" s="1012"/>
      <c r="M98" s="1012"/>
      <c r="N98" s="1012"/>
      <c r="O98" s="1013"/>
    </row>
    <row r="99" spans="1:15" ht="12.75" x14ac:dyDescent="0.2">
      <c r="A99" s="252" t="str">
        <f>A45</f>
        <v>Të tjera</v>
      </c>
      <c r="B99" s="966" t="str">
        <f>B45</f>
        <v>69 / ?</v>
      </c>
      <c r="C99" s="967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1008"/>
      <c r="K99" s="1009"/>
      <c r="L99" s="1009"/>
      <c r="M99" s="1009"/>
      <c r="N99" s="1009"/>
      <c r="O99" s="1010"/>
    </row>
    <row r="100" spans="1:15" ht="12.75" x14ac:dyDescent="0.2">
      <c r="A100" s="124" t="str">
        <f>A46</f>
        <v>SHPENZIME KORRENTE</v>
      </c>
      <c r="B100" s="999"/>
      <c r="C100" s="1000"/>
      <c r="D100" s="1001"/>
      <c r="E100" s="129">
        <f>SUM(E89:E99)</f>
        <v>530000</v>
      </c>
      <c r="F100" s="129">
        <f t="shared" ref="F100:G100" si="33">SUM(F89:F99)</f>
        <v>532000</v>
      </c>
      <c r="G100" s="129">
        <f t="shared" si="33"/>
        <v>531408</v>
      </c>
      <c r="H100" s="53"/>
      <c r="I100" s="420"/>
      <c r="J100" s="1014"/>
      <c r="K100" s="1015"/>
      <c r="L100" s="1015"/>
      <c r="M100" s="1015"/>
      <c r="N100" s="1015"/>
      <c r="O100" s="1016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1008"/>
      <c r="K101" s="1009"/>
      <c r="L101" s="1009"/>
      <c r="M101" s="1009"/>
      <c r="N101" s="1009"/>
      <c r="O101" s="1010"/>
    </row>
    <row r="102" spans="1:15" ht="12.75" x14ac:dyDescent="0.2">
      <c r="A102" s="137" t="str">
        <f>A48</f>
        <v>SHPENZIME TË PRITSHME</v>
      </c>
      <c r="B102" s="34">
        <f>B72</f>
        <v>414697</v>
      </c>
      <c r="C102" s="34">
        <f t="shared" ref="C102:D102" si="34">C72</f>
        <v>414597</v>
      </c>
      <c r="D102" s="34">
        <f t="shared" si="34"/>
        <v>414697</v>
      </c>
      <c r="E102" s="129">
        <f>E87+E100</f>
        <v>530000</v>
      </c>
      <c r="F102" s="129">
        <f>F87+F100</f>
        <v>532000</v>
      </c>
      <c r="G102" s="129">
        <f t="shared" ref="G102" si="35">G87+G100</f>
        <v>531408</v>
      </c>
      <c r="H102" s="53"/>
      <c r="I102" s="420"/>
      <c r="J102" s="1014"/>
      <c r="K102" s="1015"/>
      <c r="L102" s="1015"/>
      <c r="M102" s="1015"/>
      <c r="N102" s="1015"/>
      <c r="O102" s="1016"/>
    </row>
    <row r="105" spans="1:15" ht="17.25" customHeight="1" x14ac:dyDescent="0.2">
      <c r="A105" s="213" t="str">
        <f t="shared" ref="A105:O105" si="36">A66</f>
        <v>Nënfunksioni 27</v>
      </c>
      <c r="B105" s="962" t="str">
        <f t="shared" si="36"/>
        <v>106 Strehimi social</v>
      </c>
      <c r="C105" s="962">
        <f t="shared" si="36"/>
        <v>0</v>
      </c>
      <c r="D105" s="962">
        <f t="shared" si="36"/>
        <v>0</v>
      </c>
      <c r="E105" s="962">
        <f t="shared" si="36"/>
        <v>0</v>
      </c>
      <c r="F105" s="962">
        <f t="shared" si="36"/>
        <v>0</v>
      </c>
      <c r="G105" s="962">
        <f t="shared" si="36"/>
        <v>0</v>
      </c>
      <c r="H105" s="962">
        <f t="shared" si="36"/>
        <v>0</v>
      </c>
      <c r="I105" s="962">
        <f t="shared" si="36"/>
        <v>0</v>
      </c>
      <c r="J105" s="962">
        <f t="shared" si="36"/>
        <v>0</v>
      </c>
      <c r="K105" s="962">
        <f t="shared" si="36"/>
        <v>0</v>
      </c>
      <c r="L105" s="962">
        <f t="shared" si="36"/>
        <v>0</v>
      </c>
      <c r="M105" s="962">
        <f t="shared" si="36"/>
        <v>0</v>
      </c>
      <c r="N105" s="962">
        <f t="shared" si="36"/>
        <v>0</v>
      </c>
      <c r="O105" s="962">
        <f t="shared" si="36"/>
        <v>0</v>
      </c>
    </row>
    <row r="106" spans="1:15" ht="17.25" customHeight="1" x14ac:dyDescent="0.2">
      <c r="A106" s="276" t="str">
        <f>A7</f>
        <v>Programi 28b</v>
      </c>
      <c r="B106" s="962">
        <f>C7</f>
        <v>0</v>
      </c>
      <c r="C106" s="962" t="e">
        <f>#REF!</f>
        <v>#REF!</v>
      </c>
      <c r="D106" s="962" t="e">
        <f>#REF!</f>
        <v>#REF!</v>
      </c>
      <c r="E106" s="962" t="e">
        <f>#REF!</f>
        <v>#REF!</v>
      </c>
      <c r="F106" s="962" t="e">
        <f>#REF!</f>
        <v>#REF!</v>
      </c>
      <c r="G106" s="962" t="e">
        <f>#REF!</f>
        <v>#REF!</v>
      </c>
      <c r="H106" s="962" t="e">
        <f>#REF!</f>
        <v>#REF!</v>
      </c>
      <c r="I106" s="962" t="e">
        <f>#REF!</f>
        <v>#REF!</v>
      </c>
      <c r="J106" s="962" t="e">
        <f>#REF!</f>
        <v>#REF!</v>
      </c>
      <c r="K106" s="962" t="e">
        <f>#REF!</f>
        <v>#REF!</v>
      </c>
      <c r="L106" s="962" t="e">
        <f>#REF!</f>
        <v>#REF!</v>
      </c>
      <c r="M106" s="962" t="e">
        <f>#REF!</f>
        <v>#REF!</v>
      </c>
      <c r="N106" s="962" t="e">
        <f>#REF!</f>
        <v>#REF!</v>
      </c>
      <c r="O106" s="962" t="e">
        <f>#REF!</f>
        <v>#REF!</v>
      </c>
    </row>
    <row r="107" spans="1:15" ht="17.25" customHeight="1" x14ac:dyDescent="0.2">
      <c r="A107" s="647">
        <f>'(B3) Struktura Funksionale'!B141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9" t="str">
        <f t="shared" ref="A108:G108" si="37">A69</f>
        <v>SHPENZIME TË PRITSHME</v>
      </c>
      <c r="B108" s="990">
        <f t="shared" si="37"/>
        <v>0</v>
      </c>
      <c r="C108" s="990">
        <f t="shared" si="37"/>
        <v>0</v>
      </c>
      <c r="D108" s="990">
        <f t="shared" si="37"/>
        <v>0</v>
      </c>
      <c r="E108" s="990">
        <f t="shared" si="37"/>
        <v>0</v>
      </c>
      <c r="F108" s="990">
        <f t="shared" si="37"/>
        <v>0</v>
      </c>
      <c r="G108" s="991">
        <f t="shared" si="37"/>
        <v>0</v>
      </c>
      <c r="H108" s="131"/>
      <c r="I108" s="992" t="str">
        <f t="shared" ref="I108:O108" si="38">I69</f>
        <v xml:space="preserve">TË ARDHURAT E PRITSHME </v>
      </c>
      <c r="J108" s="990">
        <f t="shared" si="38"/>
        <v>0</v>
      </c>
      <c r="K108" s="990">
        <f t="shared" si="38"/>
        <v>0</v>
      </c>
      <c r="L108" s="990">
        <f t="shared" si="38"/>
        <v>0</v>
      </c>
      <c r="M108" s="990">
        <f t="shared" si="38"/>
        <v>0</v>
      </c>
      <c r="N108" s="990">
        <f t="shared" si="38"/>
        <v>0</v>
      </c>
      <c r="O108" s="991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63" t="str">
        <f>I72</f>
        <v>VLERËSIM I ARDHURAVE NGA TARIFAT</v>
      </c>
      <c r="J111" s="964"/>
      <c r="K111" s="964"/>
      <c r="L111" s="964"/>
      <c r="M111" s="964"/>
      <c r="N111" s="964"/>
      <c r="O111" s="965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9" t="str">
        <f t="shared" ref="A113:G114" si="41">A74</f>
        <v>SHPENZIME TË PRITSHME</v>
      </c>
      <c r="B113" s="970">
        <f t="shared" si="41"/>
        <v>0</v>
      </c>
      <c r="C113" s="970">
        <f t="shared" si="41"/>
        <v>0</v>
      </c>
      <c r="D113" s="970">
        <f t="shared" si="41"/>
        <v>0</v>
      </c>
      <c r="E113" s="970">
        <f t="shared" si="41"/>
        <v>0</v>
      </c>
      <c r="F113" s="970">
        <f t="shared" si="41"/>
        <v>0</v>
      </c>
      <c r="G113" s="971">
        <f t="shared" si="41"/>
        <v>0</v>
      </c>
      <c r="H113" s="10"/>
    </row>
    <row r="114" spans="1:15" ht="12.75" x14ac:dyDescent="0.2">
      <c r="A114" s="963" t="str">
        <f t="shared" si="41"/>
        <v>KOSTO DIREKTE PËR PROJEKTET DHE SHPENZIMET KAPITALE</v>
      </c>
      <c r="B114" s="964">
        <f t="shared" si="41"/>
        <v>0</v>
      </c>
      <c r="C114" s="964">
        <f t="shared" si="41"/>
        <v>0</v>
      </c>
      <c r="D114" s="964">
        <f t="shared" si="41"/>
        <v>0</v>
      </c>
      <c r="E114" s="964">
        <f t="shared" si="41"/>
        <v>0</v>
      </c>
      <c r="F114" s="964">
        <f t="shared" si="41"/>
        <v>0</v>
      </c>
      <c r="G114" s="965">
        <f t="shared" si="41"/>
        <v>0</v>
      </c>
      <c r="H114" s="31"/>
      <c r="I114" s="963" t="str">
        <f t="shared" ref="I114:I119" si="42">I75</f>
        <v>VLERËSIMI I TË ARDHURAVE ME DESTINACION</v>
      </c>
      <c r="J114" s="964"/>
      <c r="K114" s="964"/>
      <c r="L114" s="964"/>
      <c r="M114" s="964"/>
      <c r="N114" s="964"/>
      <c r="O114" s="965"/>
    </row>
    <row r="115" spans="1:15" ht="12.75" x14ac:dyDescent="0.2">
      <c r="A115" s="124" t="str">
        <f t="shared" ref="A115:D137" si="43">A76</f>
        <v>Pagat</v>
      </c>
      <c r="B115" s="966">
        <f t="shared" si="43"/>
        <v>600</v>
      </c>
      <c r="C115" s="967">
        <f t="shared" si="43"/>
        <v>0</v>
      </c>
      <c r="D115" s="968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66">
        <f t="shared" si="43"/>
        <v>601</v>
      </c>
      <c r="C116" s="967">
        <f t="shared" si="43"/>
        <v>0</v>
      </c>
      <c r="D116" s="968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66">
        <f t="shared" si="43"/>
        <v>602</v>
      </c>
      <c r="C117" s="967">
        <f t="shared" si="43"/>
        <v>0</v>
      </c>
      <c r="D117" s="968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8">
        <f>VLOOKUP($A106,'(C4) Trashëgimi me destinacion'!$A$8:$F$168,5,FALSE)</f>
        <v>0</v>
      </c>
      <c r="O117" s="548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66">
        <f t="shared" si="43"/>
        <v>603</v>
      </c>
      <c r="C118" s="967">
        <f t="shared" si="43"/>
        <v>0</v>
      </c>
      <c r="D118" s="968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66">
        <f t="shared" si="43"/>
        <v>604</v>
      </c>
      <c r="C119" s="967">
        <f t="shared" si="43"/>
        <v>0</v>
      </c>
      <c r="D119" s="968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66">
        <f t="shared" si="43"/>
        <v>605</v>
      </c>
      <c r="C120" s="967">
        <f t="shared" si="43"/>
        <v>0</v>
      </c>
      <c r="D120" s="968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66">
        <f t="shared" si="43"/>
        <v>606</v>
      </c>
      <c r="C121" s="967">
        <f t="shared" si="43"/>
        <v>0</v>
      </c>
      <c r="D121" s="968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66" t="str">
        <f t="shared" si="43"/>
        <v>230 / 231</v>
      </c>
      <c r="C122" s="967">
        <f t="shared" si="43"/>
        <v>0</v>
      </c>
      <c r="D122" s="968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66">
        <f t="shared" si="43"/>
        <v>609</v>
      </c>
      <c r="C123" s="967">
        <f t="shared" si="43"/>
        <v>0</v>
      </c>
      <c r="D123" s="968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66">
        <f t="shared" si="43"/>
        <v>650</v>
      </c>
      <c r="C124" s="967">
        <f t="shared" si="43"/>
        <v>0</v>
      </c>
      <c r="D124" s="968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66" t="str">
        <f t="shared" si="43"/>
        <v>69 / ?</v>
      </c>
      <c r="C125" s="967">
        <f t="shared" si="43"/>
        <v>0</v>
      </c>
      <c r="D125" s="968">
        <f t="shared" si="43"/>
        <v>0</v>
      </c>
      <c r="E125" s="129"/>
      <c r="F125" s="129"/>
      <c r="G125" s="129"/>
      <c r="H125" s="53"/>
      <c r="I125" s="972" t="str">
        <f t="shared" ref="I125:O126" si="45">I86</f>
        <v>SHUMA E KËRKUAR NETO</v>
      </c>
      <c r="J125" s="973">
        <f t="shared" si="45"/>
        <v>0</v>
      </c>
      <c r="K125" s="973">
        <f t="shared" si="45"/>
        <v>0</v>
      </c>
      <c r="L125" s="973">
        <f t="shared" si="45"/>
        <v>0</v>
      </c>
      <c r="M125" s="973">
        <f t="shared" si="45"/>
        <v>0</v>
      </c>
      <c r="N125" s="973">
        <f t="shared" si="45"/>
        <v>0</v>
      </c>
      <c r="O125" s="974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66">
        <f t="shared" si="43"/>
        <v>0</v>
      </c>
      <c r="C126" s="967">
        <f t="shared" si="43"/>
        <v>0</v>
      </c>
      <c r="D126" s="968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75">
        <f t="shared" si="45"/>
        <v>0</v>
      </c>
      <c r="J126" s="976">
        <f t="shared" si="45"/>
        <v>0</v>
      </c>
      <c r="K126" s="976">
        <f t="shared" si="45"/>
        <v>0</v>
      </c>
      <c r="L126" s="976">
        <f t="shared" si="45"/>
        <v>0</v>
      </c>
      <c r="M126" s="976">
        <f t="shared" si="45"/>
        <v>0</v>
      </c>
      <c r="N126" s="976">
        <f t="shared" si="45"/>
        <v>0</v>
      </c>
      <c r="O126" s="977">
        <f t="shared" si="45"/>
        <v>0</v>
      </c>
    </row>
    <row r="127" spans="1:15" ht="12.75" x14ac:dyDescent="0.2">
      <c r="A127" s="963" t="str">
        <f t="shared" si="43"/>
        <v>SHPENZIME KORRENTE</v>
      </c>
      <c r="B127" s="964">
        <f t="shared" si="43"/>
        <v>0</v>
      </c>
      <c r="C127" s="964">
        <f t="shared" si="43"/>
        <v>0</v>
      </c>
      <c r="D127" s="964">
        <f t="shared" si="43"/>
        <v>0</v>
      </c>
      <c r="E127" s="964">
        <f>E88</f>
        <v>0</v>
      </c>
      <c r="F127" s="964">
        <f>F88</f>
        <v>0</v>
      </c>
      <c r="G127" s="965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66">
        <f t="shared" si="43"/>
        <v>600</v>
      </c>
      <c r="C128" s="967">
        <f t="shared" si="43"/>
        <v>0</v>
      </c>
      <c r="D128" s="968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66">
        <f t="shared" si="43"/>
        <v>601</v>
      </c>
      <c r="C129" s="967">
        <f t="shared" si="43"/>
        <v>0</v>
      </c>
      <c r="D129" s="968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66">
        <f t="shared" si="43"/>
        <v>602</v>
      </c>
      <c r="C130" s="967">
        <f t="shared" si="43"/>
        <v>0</v>
      </c>
      <c r="D130" s="968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27" t="str">
        <f>J91</f>
        <v>Vlera Totale për Aktivitet</v>
      </c>
      <c r="K130" s="1028"/>
      <c r="L130" s="10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66">
        <f t="shared" si="43"/>
        <v>603</v>
      </c>
      <c r="C131" s="967">
        <f t="shared" si="43"/>
        <v>0</v>
      </c>
      <c r="D131" s="968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27" t="str">
        <f>J92</f>
        <v>Shpenzimet kapitale</v>
      </c>
      <c r="K131" s="1028"/>
      <c r="L131" s="10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66">
        <f t="shared" si="43"/>
        <v>604</v>
      </c>
      <c r="C132" s="967">
        <f t="shared" si="43"/>
        <v>0</v>
      </c>
      <c r="D132" s="968">
        <f t="shared" si="43"/>
        <v>0</v>
      </c>
      <c r="E132" s="37"/>
      <c r="F132" s="37"/>
      <c r="G132" s="37"/>
      <c r="H132" s="53"/>
      <c r="I132" s="315"/>
      <c r="J132" s="1027" t="str">
        <f>J93</f>
        <v>Mallra dhe shërbime</v>
      </c>
      <c r="K132" s="1028"/>
      <c r="L132" s="10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66">
        <f t="shared" si="43"/>
        <v>605</v>
      </c>
      <c r="C133" s="967">
        <f t="shared" si="43"/>
        <v>0</v>
      </c>
      <c r="D133" s="968">
        <f t="shared" si="43"/>
        <v>0</v>
      </c>
      <c r="E133" s="37"/>
      <c r="F133" s="37"/>
      <c r="G133" s="37"/>
      <c r="H133" s="53"/>
      <c r="I133" s="315"/>
      <c r="J133" s="1027" t="str">
        <f>J94</f>
        <v>Qëllime të mëtejshme</v>
      </c>
      <c r="K133" s="1028"/>
      <c r="L133" s="10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66">
        <f t="shared" si="43"/>
        <v>606</v>
      </c>
      <c r="C134" s="967">
        <f t="shared" si="43"/>
        <v>0</v>
      </c>
      <c r="D134" s="968">
        <f t="shared" si="43"/>
        <v>0</v>
      </c>
      <c r="E134" s="37"/>
      <c r="F134" s="37"/>
      <c r="G134" s="37"/>
      <c r="H134" s="53"/>
      <c r="I134" s="315"/>
      <c r="J134" s="1023"/>
      <c r="K134" s="1023"/>
      <c r="L134" s="1023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93" t="str">
        <f t="shared" si="43"/>
        <v>230 / 231</v>
      </c>
      <c r="C135" s="994">
        <f t="shared" si="43"/>
        <v>0</v>
      </c>
      <c r="D135" s="995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66">
        <f t="shared" si="43"/>
        <v>609</v>
      </c>
      <c r="C136" s="967">
        <f t="shared" si="43"/>
        <v>0</v>
      </c>
      <c r="D136" s="968">
        <f t="shared" si="43"/>
        <v>0</v>
      </c>
      <c r="E136" s="37"/>
      <c r="F136" s="37"/>
      <c r="G136" s="37"/>
      <c r="H136" s="53"/>
      <c r="I136" s="419">
        <f>M109</f>
        <v>2022</v>
      </c>
      <c r="J136" s="1008"/>
      <c r="K136" s="1009"/>
      <c r="L136" s="1009"/>
      <c r="M136" s="1009"/>
      <c r="N136" s="1009"/>
      <c r="O136" s="1010"/>
    </row>
    <row r="137" spans="1:15" ht="12.75" x14ac:dyDescent="0.2">
      <c r="A137" s="124" t="str">
        <f t="shared" si="43"/>
        <v>Interesa per kredi direkte ose bono</v>
      </c>
      <c r="B137" s="996">
        <f t="shared" si="43"/>
        <v>650</v>
      </c>
      <c r="C137" s="997">
        <f t="shared" si="43"/>
        <v>0</v>
      </c>
      <c r="D137" s="998">
        <f t="shared" si="43"/>
        <v>0</v>
      </c>
      <c r="E137" s="37"/>
      <c r="F137" s="37"/>
      <c r="G137" s="37"/>
      <c r="H137" s="53"/>
      <c r="I137" s="420"/>
      <c r="J137" s="1011"/>
      <c r="K137" s="1012"/>
      <c r="L137" s="1012"/>
      <c r="M137" s="1012"/>
      <c r="N137" s="1012"/>
      <c r="O137" s="1013"/>
    </row>
    <row r="138" spans="1:15" ht="12.75" x14ac:dyDescent="0.2">
      <c r="A138" s="252" t="str">
        <f>A99</f>
        <v>Të tjera</v>
      </c>
      <c r="B138" s="966" t="str">
        <f>B99</f>
        <v>69 / ?</v>
      </c>
      <c r="C138" s="967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1008"/>
      <c r="K138" s="1009"/>
      <c r="L138" s="1009"/>
      <c r="M138" s="1009"/>
      <c r="N138" s="1009"/>
      <c r="O138" s="1010"/>
    </row>
    <row r="139" spans="1:15" ht="12.75" x14ac:dyDescent="0.2">
      <c r="A139" s="124" t="str">
        <f>A100</f>
        <v>SHPENZIME KORRENTE</v>
      </c>
      <c r="B139" s="999"/>
      <c r="C139" s="1000"/>
      <c r="D139" s="100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1014"/>
      <c r="K139" s="1015"/>
      <c r="L139" s="1015"/>
      <c r="M139" s="1015"/>
      <c r="N139" s="1015"/>
      <c r="O139" s="1016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1008"/>
      <c r="K140" s="1009"/>
      <c r="L140" s="1009"/>
      <c r="M140" s="1009"/>
      <c r="N140" s="1009"/>
      <c r="O140" s="1010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1014"/>
      <c r="K141" s="1015"/>
      <c r="L141" s="1015"/>
      <c r="M141" s="1015"/>
      <c r="N141" s="1015"/>
      <c r="O141" s="1016"/>
    </row>
    <row r="144" spans="1:15" ht="17.25" customHeight="1" x14ac:dyDescent="0.2">
      <c r="A144" s="213" t="str">
        <f t="shared" ref="A144:O144" si="52">A66</f>
        <v>Nënfunksioni 27</v>
      </c>
      <c r="B144" s="962" t="str">
        <f t="shared" si="52"/>
        <v>106 Strehimi social</v>
      </c>
      <c r="C144" s="962">
        <f t="shared" si="52"/>
        <v>0</v>
      </c>
      <c r="D144" s="962">
        <f t="shared" si="52"/>
        <v>0</v>
      </c>
      <c r="E144" s="962">
        <f t="shared" si="52"/>
        <v>0</v>
      </c>
      <c r="F144" s="962">
        <f t="shared" si="52"/>
        <v>0</v>
      </c>
      <c r="G144" s="962">
        <f t="shared" si="52"/>
        <v>0</v>
      </c>
      <c r="H144" s="962">
        <f t="shared" si="52"/>
        <v>0</v>
      </c>
      <c r="I144" s="962">
        <f t="shared" si="52"/>
        <v>0</v>
      </c>
      <c r="J144" s="962">
        <f t="shared" si="52"/>
        <v>0</v>
      </c>
      <c r="K144" s="962">
        <f t="shared" si="52"/>
        <v>0</v>
      </c>
      <c r="L144" s="962">
        <f t="shared" si="52"/>
        <v>0</v>
      </c>
      <c r="M144" s="962">
        <f t="shared" si="52"/>
        <v>0</v>
      </c>
      <c r="N144" s="962">
        <f t="shared" si="52"/>
        <v>0</v>
      </c>
      <c r="O144" s="962">
        <f t="shared" si="52"/>
        <v>0</v>
      </c>
    </row>
    <row r="145" spans="1:15" ht="17.25" customHeight="1" x14ac:dyDescent="0.2">
      <c r="A145" s="276" t="str">
        <f>A8</f>
        <v>Programi 28c</v>
      </c>
      <c r="B145" s="962">
        <f>C8</f>
        <v>0</v>
      </c>
      <c r="C145" s="962" t="e">
        <f>#REF!</f>
        <v>#REF!</v>
      </c>
      <c r="D145" s="962" t="e">
        <f>#REF!</f>
        <v>#REF!</v>
      </c>
      <c r="E145" s="962" t="e">
        <f>#REF!</f>
        <v>#REF!</v>
      </c>
      <c r="F145" s="962" t="e">
        <f>#REF!</f>
        <v>#REF!</v>
      </c>
      <c r="G145" s="962" t="e">
        <f>#REF!</f>
        <v>#REF!</v>
      </c>
      <c r="H145" s="962" t="e">
        <f>#REF!</f>
        <v>#REF!</v>
      </c>
      <c r="I145" s="962" t="e">
        <f>#REF!</f>
        <v>#REF!</v>
      </c>
      <c r="J145" s="962" t="e">
        <f>#REF!</f>
        <v>#REF!</v>
      </c>
      <c r="K145" s="962" t="e">
        <f>#REF!</f>
        <v>#REF!</v>
      </c>
      <c r="L145" s="962" t="e">
        <f>#REF!</f>
        <v>#REF!</v>
      </c>
      <c r="M145" s="962" t="e">
        <f>#REF!</f>
        <v>#REF!</v>
      </c>
      <c r="N145" s="962" t="e">
        <f>#REF!</f>
        <v>#REF!</v>
      </c>
      <c r="O145" s="962" t="e">
        <f>#REF!</f>
        <v>#REF!</v>
      </c>
    </row>
    <row r="146" spans="1:15" ht="17.25" customHeight="1" x14ac:dyDescent="0.2">
      <c r="A146" s="647">
        <f>'(B3) Struktura Funksionale'!B142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9" t="str">
        <f t="shared" ref="A147:G147" si="53">A69</f>
        <v>SHPENZIME TË PRITSHME</v>
      </c>
      <c r="B147" s="990">
        <f t="shared" si="53"/>
        <v>0</v>
      </c>
      <c r="C147" s="990">
        <f t="shared" si="53"/>
        <v>0</v>
      </c>
      <c r="D147" s="990">
        <f t="shared" si="53"/>
        <v>0</v>
      </c>
      <c r="E147" s="990">
        <f t="shared" si="53"/>
        <v>0</v>
      </c>
      <c r="F147" s="990">
        <f t="shared" si="53"/>
        <v>0</v>
      </c>
      <c r="G147" s="991">
        <f t="shared" si="53"/>
        <v>0</v>
      </c>
      <c r="H147" s="131"/>
      <c r="I147" s="992" t="str">
        <f t="shared" ref="I147:O147" si="54">I69</f>
        <v xml:space="preserve">TË ARDHURAT E PRITSHME </v>
      </c>
      <c r="J147" s="990">
        <f t="shared" si="54"/>
        <v>0</v>
      </c>
      <c r="K147" s="990">
        <f t="shared" si="54"/>
        <v>0</v>
      </c>
      <c r="L147" s="990">
        <f t="shared" si="54"/>
        <v>0</v>
      </c>
      <c r="M147" s="990">
        <f t="shared" si="54"/>
        <v>0</v>
      </c>
      <c r="N147" s="990">
        <f t="shared" si="54"/>
        <v>0</v>
      </c>
      <c r="O147" s="991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63" t="str">
        <f t="shared" ref="I150:O150" si="57">I72</f>
        <v>VLERËSIM I ARDHURAVE NGA TARIFAT</v>
      </c>
      <c r="J150" s="964">
        <f t="shared" si="57"/>
        <v>0</v>
      </c>
      <c r="K150" s="964">
        <f t="shared" si="57"/>
        <v>0</v>
      </c>
      <c r="L150" s="964">
        <f t="shared" si="57"/>
        <v>0</v>
      </c>
      <c r="M150" s="964">
        <f t="shared" si="57"/>
        <v>0</v>
      </c>
      <c r="N150" s="964">
        <f t="shared" si="57"/>
        <v>0</v>
      </c>
      <c r="O150" s="965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9" t="str">
        <f t="shared" ref="A152:G153" si="58">A74</f>
        <v>SHPENZIME TË PRITSHME</v>
      </c>
      <c r="B152" s="970">
        <f t="shared" si="58"/>
        <v>0</v>
      </c>
      <c r="C152" s="970">
        <f t="shared" si="58"/>
        <v>0</v>
      </c>
      <c r="D152" s="970">
        <f t="shared" si="58"/>
        <v>0</v>
      </c>
      <c r="E152" s="970">
        <f t="shared" si="58"/>
        <v>0</v>
      </c>
      <c r="F152" s="970">
        <f t="shared" si="58"/>
        <v>0</v>
      </c>
      <c r="G152" s="971">
        <f t="shared" si="58"/>
        <v>0</v>
      </c>
      <c r="H152" s="10"/>
    </row>
    <row r="153" spans="1:15" ht="12.75" x14ac:dyDescent="0.2">
      <c r="A153" s="963" t="str">
        <f t="shared" si="58"/>
        <v>KOSTO DIREKTE PËR PROJEKTET DHE SHPENZIMET KAPITALE</v>
      </c>
      <c r="B153" s="964">
        <f t="shared" si="58"/>
        <v>0</v>
      </c>
      <c r="C153" s="964">
        <f t="shared" si="58"/>
        <v>0</v>
      </c>
      <c r="D153" s="964">
        <f t="shared" si="58"/>
        <v>0</v>
      </c>
      <c r="E153" s="964">
        <f t="shared" si="58"/>
        <v>0</v>
      </c>
      <c r="F153" s="964">
        <f t="shared" si="58"/>
        <v>0</v>
      </c>
      <c r="G153" s="965">
        <f t="shared" si="58"/>
        <v>0</v>
      </c>
      <c r="H153" s="31"/>
      <c r="I153" s="963" t="str">
        <f t="shared" ref="I153:I158" si="59">I75</f>
        <v>VLERËSIMI I TË ARDHURAVE ME DESTINACION</v>
      </c>
      <c r="J153" s="964"/>
      <c r="K153" s="964"/>
      <c r="L153" s="964"/>
      <c r="M153" s="964"/>
      <c r="N153" s="964"/>
      <c r="O153" s="965"/>
    </row>
    <row r="154" spans="1:15" ht="12.75" x14ac:dyDescent="0.2">
      <c r="A154" s="124" t="str">
        <f t="shared" ref="A154:D176" si="60">A76</f>
        <v>Pagat</v>
      </c>
      <c r="B154" s="966">
        <f t="shared" si="60"/>
        <v>600</v>
      </c>
      <c r="C154" s="967">
        <f t="shared" si="60"/>
        <v>0</v>
      </c>
      <c r="D154" s="968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66">
        <f t="shared" si="60"/>
        <v>601</v>
      </c>
      <c r="C155" s="967">
        <f t="shared" si="60"/>
        <v>0</v>
      </c>
      <c r="D155" s="968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66">
        <f t="shared" si="60"/>
        <v>602</v>
      </c>
      <c r="C156" s="967">
        <f t="shared" si="60"/>
        <v>0</v>
      </c>
      <c r="D156" s="968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8">
        <f>VLOOKUP($A145,'(C4) Trashëgimi me destinacion'!$A$8:$F$168,5,FALSE)</f>
        <v>0</v>
      </c>
      <c r="O156" s="548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66">
        <f t="shared" si="60"/>
        <v>603</v>
      </c>
      <c r="C157" s="967">
        <f t="shared" si="60"/>
        <v>0</v>
      </c>
      <c r="D157" s="968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66">
        <f t="shared" si="60"/>
        <v>604</v>
      </c>
      <c r="C158" s="967">
        <f t="shared" si="60"/>
        <v>0</v>
      </c>
      <c r="D158" s="968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66">
        <f t="shared" si="60"/>
        <v>605</v>
      </c>
      <c r="C159" s="967">
        <f t="shared" si="60"/>
        <v>0</v>
      </c>
      <c r="D159" s="968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66">
        <f t="shared" si="60"/>
        <v>606</v>
      </c>
      <c r="C160" s="967">
        <f t="shared" si="60"/>
        <v>0</v>
      </c>
      <c r="D160" s="968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66" t="str">
        <f t="shared" si="60"/>
        <v>230 / 231</v>
      </c>
      <c r="C161" s="967">
        <f t="shared" si="60"/>
        <v>0</v>
      </c>
      <c r="D161" s="968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66">
        <f t="shared" si="60"/>
        <v>609</v>
      </c>
      <c r="C162" s="967">
        <f t="shared" si="60"/>
        <v>0</v>
      </c>
      <c r="D162" s="968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66">
        <f t="shared" si="60"/>
        <v>650</v>
      </c>
      <c r="C163" s="967">
        <f t="shared" si="60"/>
        <v>0</v>
      </c>
      <c r="D163" s="968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66" t="str">
        <f t="shared" si="60"/>
        <v>69 / ?</v>
      </c>
      <c r="C164" s="967">
        <f t="shared" si="60"/>
        <v>0</v>
      </c>
      <c r="D164" s="968">
        <f t="shared" si="60"/>
        <v>0</v>
      </c>
      <c r="E164" s="129"/>
      <c r="F164" s="129"/>
      <c r="G164" s="129"/>
      <c r="H164" s="53"/>
      <c r="I164" s="972" t="str">
        <f t="shared" ref="I164:O165" si="62">I86</f>
        <v>SHUMA E KËRKUAR NETO</v>
      </c>
      <c r="J164" s="973">
        <f t="shared" si="62"/>
        <v>0</v>
      </c>
      <c r="K164" s="973">
        <f t="shared" si="62"/>
        <v>0</v>
      </c>
      <c r="L164" s="973">
        <f t="shared" si="62"/>
        <v>0</v>
      </c>
      <c r="M164" s="973">
        <f t="shared" si="62"/>
        <v>0</v>
      </c>
      <c r="N164" s="973">
        <f t="shared" si="62"/>
        <v>0</v>
      </c>
      <c r="O164" s="974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66">
        <f t="shared" si="60"/>
        <v>0</v>
      </c>
      <c r="C165" s="967">
        <f t="shared" si="60"/>
        <v>0</v>
      </c>
      <c r="D165" s="968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75">
        <f t="shared" si="62"/>
        <v>0</v>
      </c>
      <c r="J165" s="976">
        <f t="shared" si="62"/>
        <v>0</v>
      </c>
      <c r="K165" s="976">
        <f t="shared" si="62"/>
        <v>0</v>
      </c>
      <c r="L165" s="976">
        <f t="shared" si="62"/>
        <v>0</v>
      </c>
      <c r="M165" s="976">
        <f t="shared" si="62"/>
        <v>0</v>
      </c>
      <c r="N165" s="976">
        <f t="shared" si="62"/>
        <v>0</v>
      </c>
      <c r="O165" s="977">
        <f t="shared" si="62"/>
        <v>0</v>
      </c>
    </row>
    <row r="166" spans="1:15" ht="12.75" x14ac:dyDescent="0.2">
      <c r="A166" s="963" t="str">
        <f t="shared" si="60"/>
        <v>SHPENZIME KORRENTE</v>
      </c>
      <c r="B166" s="964">
        <f t="shared" si="60"/>
        <v>0</v>
      </c>
      <c r="C166" s="964">
        <f t="shared" si="60"/>
        <v>0</v>
      </c>
      <c r="D166" s="964">
        <f t="shared" si="60"/>
        <v>0</v>
      </c>
      <c r="E166" s="964">
        <f>E88</f>
        <v>0</v>
      </c>
      <c r="F166" s="964">
        <f>F88</f>
        <v>0</v>
      </c>
      <c r="G166" s="965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66">
        <f t="shared" si="60"/>
        <v>600</v>
      </c>
      <c r="C167" s="967">
        <f t="shared" si="60"/>
        <v>0</v>
      </c>
      <c r="D167" s="968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66">
        <f t="shared" si="60"/>
        <v>601</v>
      </c>
      <c r="C168" s="967">
        <f t="shared" si="60"/>
        <v>0</v>
      </c>
      <c r="D168" s="968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66">
        <f t="shared" si="60"/>
        <v>602</v>
      </c>
      <c r="C169" s="967">
        <f t="shared" si="60"/>
        <v>0</v>
      </c>
      <c r="D169" s="968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27" t="str">
        <f>J130</f>
        <v>Vlera Totale për Aktivitet</v>
      </c>
      <c r="K169" s="1028"/>
      <c r="L169" s="10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66">
        <f t="shared" si="60"/>
        <v>603</v>
      </c>
      <c r="C170" s="967">
        <f t="shared" si="60"/>
        <v>0</v>
      </c>
      <c r="D170" s="968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27" t="str">
        <f>J131</f>
        <v>Shpenzimet kapitale</v>
      </c>
      <c r="K170" s="1028"/>
      <c r="L170" s="10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66">
        <f t="shared" si="60"/>
        <v>604</v>
      </c>
      <c r="C171" s="967">
        <f t="shared" si="60"/>
        <v>0</v>
      </c>
      <c r="D171" s="968">
        <f t="shared" si="60"/>
        <v>0</v>
      </c>
      <c r="E171" s="37"/>
      <c r="F171" s="37"/>
      <c r="G171" s="37"/>
      <c r="H171" s="53"/>
      <c r="I171" s="315"/>
      <c r="J171" s="1027" t="str">
        <f>J132</f>
        <v>Mallra dhe shërbime</v>
      </c>
      <c r="K171" s="1028"/>
      <c r="L171" s="10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66">
        <f t="shared" si="60"/>
        <v>605</v>
      </c>
      <c r="C172" s="967">
        <f t="shared" si="60"/>
        <v>0</v>
      </c>
      <c r="D172" s="968">
        <f t="shared" si="60"/>
        <v>0</v>
      </c>
      <c r="E172" s="37"/>
      <c r="F172" s="37"/>
      <c r="G172" s="37"/>
      <c r="H172" s="53"/>
      <c r="I172" s="315"/>
      <c r="J172" s="1027" t="str">
        <f>J133</f>
        <v>Qëllime të mëtejshme</v>
      </c>
      <c r="K172" s="1028"/>
      <c r="L172" s="10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66">
        <f t="shared" si="60"/>
        <v>606</v>
      </c>
      <c r="C173" s="967">
        <f t="shared" si="60"/>
        <v>0</v>
      </c>
      <c r="D173" s="968">
        <f t="shared" si="60"/>
        <v>0</v>
      </c>
      <c r="E173" s="37"/>
      <c r="F173" s="37"/>
      <c r="G173" s="37"/>
      <c r="H173" s="53"/>
      <c r="I173" s="315"/>
      <c r="J173" s="1023"/>
      <c r="K173" s="1023"/>
      <c r="L173" s="1023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93" t="str">
        <f t="shared" si="60"/>
        <v>230 / 231</v>
      </c>
      <c r="C174" s="994">
        <f t="shared" si="60"/>
        <v>0</v>
      </c>
      <c r="D174" s="995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66">
        <f t="shared" si="60"/>
        <v>609</v>
      </c>
      <c r="C175" s="967">
        <f t="shared" si="60"/>
        <v>0</v>
      </c>
      <c r="D175" s="968">
        <f t="shared" si="60"/>
        <v>0</v>
      </c>
      <c r="E175" s="37"/>
      <c r="F175" s="37"/>
      <c r="G175" s="37"/>
      <c r="H175" s="53"/>
      <c r="I175" s="419">
        <f>M148</f>
        <v>2022</v>
      </c>
      <c r="J175" s="1008"/>
      <c r="K175" s="1009"/>
      <c r="L175" s="1009"/>
      <c r="M175" s="1009"/>
      <c r="N175" s="1009"/>
      <c r="O175" s="1010"/>
    </row>
    <row r="176" spans="1:15" ht="12.75" x14ac:dyDescent="0.2">
      <c r="A176" s="124" t="str">
        <f t="shared" si="60"/>
        <v>Interesa per kredi direkte ose bono</v>
      </c>
      <c r="B176" s="996">
        <f t="shared" si="60"/>
        <v>650</v>
      </c>
      <c r="C176" s="997">
        <f t="shared" si="60"/>
        <v>0</v>
      </c>
      <c r="D176" s="998">
        <f t="shared" si="60"/>
        <v>0</v>
      </c>
      <c r="E176" s="37"/>
      <c r="F176" s="37"/>
      <c r="G176" s="37"/>
      <c r="H176" s="53"/>
      <c r="I176" s="420"/>
      <c r="J176" s="1011"/>
      <c r="K176" s="1012"/>
      <c r="L176" s="1012"/>
      <c r="M176" s="1012"/>
      <c r="N176" s="1012"/>
      <c r="O176" s="1013"/>
    </row>
    <row r="177" spans="1:15" ht="12.75" x14ac:dyDescent="0.2">
      <c r="A177" s="252" t="str">
        <f>A99</f>
        <v>Të tjera</v>
      </c>
      <c r="B177" s="966" t="str">
        <f>B99</f>
        <v>69 / ?</v>
      </c>
      <c r="C177" s="967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1008"/>
      <c r="K177" s="1009"/>
      <c r="L177" s="1009"/>
      <c r="M177" s="1009"/>
      <c r="N177" s="1009"/>
      <c r="O177" s="1010"/>
    </row>
    <row r="178" spans="1:15" ht="12.75" x14ac:dyDescent="0.2">
      <c r="A178" s="124" t="str">
        <f>A100</f>
        <v>SHPENZIME KORRENTE</v>
      </c>
      <c r="B178" s="999"/>
      <c r="C178" s="1000"/>
      <c r="D178" s="100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1014"/>
      <c r="K178" s="1015"/>
      <c r="L178" s="1015"/>
      <c r="M178" s="1015"/>
      <c r="N178" s="1015"/>
      <c r="O178" s="1016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1008"/>
      <c r="K179" s="1009"/>
      <c r="L179" s="1009"/>
      <c r="M179" s="1009"/>
      <c r="N179" s="1009"/>
      <c r="O179" s="1010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1014"/>
      <c r="K180" s="1015"/>
      <c r="L180" s="1015"/>
      <c r="M180" s="1015"/>
      <c r="N180" s="1015"/>
      <c r="O180" s="1016"/>
    </row>
    <row r="181" spans="1:15" ht="12.75" x14ac:dyDescent="0.2"/>
    <row r="182" spans="1:15" ht="12.75" x14ac:dyDescent="0.2"/>
    <row r="183" spans="1:15" ht="18.75" hidden="1" x14ac:dyDescent="0.2">
      <c r="A183" s="213"/>
      <c r="B183" s="962"/>
      <c r="C183" s="962"/>
      <c r="D183" s="962"/>
      <c r="E183" s="962"/>
      <c r="F183" s="962"/>
      <c r="G183" s="962"/>
      <c r="H183" s="962"/>
      <c r="I183" s="962"/>
      <c r="J183" s="962"/>
      <c r="K183" s="962"/>
      <c r="L183" s="962"/>
      <c r="M183" s="962"/>
      <c r="N183" s="962"/>
      <c r="O183" s="962"/>
    </row>
    <row r="184" spans="1:15" ht="18.75" hidden="1" x14ac:dyDescent="0.2">
      <c r="A184" s="276"/>
      <c r="B184" s="962"/>
      <c r="C184" s="962"/>
      <c r="D184" s="962"/>
      <c r="E184" s="962"/>
      <c r="F184" s="962"/>
      <c r="G184" s="962"/>
      <c r="H184" s="962"/>
      <c r="I184" s="962"/>
      <c r="J184" s="962"/>
      <c r="K184" s="962"/>
      <c r="L184" s="962"/>
      <c r="M184" s="962"/>
      <c r="N184" s="962"/>
      <c r="O184" s="962"/>
    </row>
    <row r="185" spans="1:15" ht="22.5" hidden="1" customHeight="1" x14ac:dyDescent="0.2">
      <c r="A185" s="958"/>
      <c r="B185" s="959"/>
      <c r="C185" s="959"/>
      <c r="D185" s="959"/>
      <c r="E185" s="959"/>
      <c r="F185" s="959"/>
      <c r="G185" s="979"/>
      <c r="H185" s="131"/>
      <c r="I185" s="980"/>
      <c r="J185" s="959"/>
      <c r="K185" s="959"/>
      <c r="L185" s="959"/>
      <c r="M185" s="959"/>
      <c r="N185" s="959"/>
      <c r="O185" s="97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87"/>
      <c r="K187" s="987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63"/>
      <c r="J188" s="964"/>
      <c r="K188" s="964"/>
      <c r="L188" s="964"/>
      <c r="M188" s="964"/>
      <c r="N188" s="964"/>
      <c r="O188" s="965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9"/>
      <c r="B190" s="970"/>
      <c r="C190" s="970"/>
      <c r="D190" s="970"/>
      <c r="E190" s="970"/>
      <c r="F190" s="970"/>
      <c r="G190" s="971"/>
      <c r="H190" s="10"/>
    </row>
    <row r="191" spans="1:15" ht="12.75" hidden="1" x14ac:dyDescent="0.2">
      <c r="A191" s="963"/>
      <c r="B191" s="964"/>
      <c r="C191" s="964"/>
      <c r="D191" s="964"/>
      <c r="E191" s="964"/>
      <c r="F191" s="964"/>
      <c r="G191" s="965"/>
      <c r="H191" s="31"/>
      <c r="I191" s="963"/>
      <c r="J191" s="964"/>
      <c r="K191" s="964"/>
      <c r="L191" s="964"/>
      <c r="M191" s="964"/>
      <c r="N191" s="964"/>
      <c r="O191" s="965"/>
    </row>
    <row r="192" spans="1:15" ht="12.75" hidden="1" x14ac:dyDescent="0.2">
      <c r="A192" s="124"/>
      <c r="B192" s="966"/>
      <c r="C192" s="967"/>
      <c r="D192" s="968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66"/>
      <c r="C193" s="967"/>
      <c r="D193" s="968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66"/>
      <c r="C194" s="967"/>
      <c r="D194" s="968"/>
      <c r="E194" s="37"/>
      <c r="F194" s="37"/>
      <c r="G194" s="37"/>
      <c r="H194" s="53"/>
      <c r="I194" s="390"/>
      <c r="J194" s="387"/>
      <c r="K194" s="389"/>
      <c r="L194" s="388"/>
      <c r="M194" s="302"/>
      <c r="N194" s="548"/>
      <c r="O194" s="548"/>
    </row>
    <row r="195" spans="1:15" ht="12.75" hidden="1" x14ac:dyDescent="0.2">
      <c r="A195" s="124"/>
      <c r="B195" s="966"/>
      <c r="C195" s="967"/>
      <c r="D195" s="968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66"/>
      <c r="C196" s="967"/>
      <c r="D196" s="968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66"/>
      <c r="C197" s="967"/>
      <c r="D197" s="968"/>
      <c r="E197" s="37"/>
      <c r="F197" s="37"/>
      <c r="G197" s="37"/>
      <c r="H197" s="53"/>
    </row>
    <row r="198" spans="1:15" ht="12.75" hidden="1" x14ac:dyDescent="0.2">
      <c r="A198" s="124"/>
      <c r="B198" s="966"/>
      <c r="C198" s="967"/>
      <c r="D198" s="968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66"/>
      <c r="C199" s="967"/>
      <c r="D199" s="968"/>
      <c r="E199" s="37"/>
      <c r="F199" s="37"/>
      <c r="G199" s="37"/>
      <c r="H199" s="53"/>
    </row>
    <row r="200" spans="1:15" ht="12.75" hidden="1" x14ac:dyDescent="0.2">
      <c r="A200" s="124"/>
      <c r="B200" s="966"/>
      <c r="C200" s="967"/>
      <c r="D200" s="968"/>
      <c r="E200" s="37"/>
      <c r="F200" s="37"/>
      <c r="G200" s="37"/>
      <c r="H200" s="53"/>
    </row>
    <row r="201" spans="1:15" ht="12.75" hidden="1" x14ac:dyDescent="0.2">
      <c r="A201" s="124"/>
      <c r="B201" s="966"/>
      <c r="C201" s="967"/>
      <c r="D201" s="968"/>
      <c r="E201" s="37"/>
      <c r="F201" s="37"/>
      <c r="G201" s="37"/>
      <c r="H201" s="53"/>
    </row>
    <row r="202" spans="1:15" ht="12.75" hidden="1" x14ac:dyDescent="0.2">
      <c r="A202" s="124"/>
      <c r="B202" s="966"/>
      <c r="C202" s="967"/>
      <c r="D202" s="968"/>
      <c r="E202" s="37"/>
      <c r="F202" s="37"/>
      <c r="G202" s="37"/>
      <c r="H202" s="53"/>
      <c r="I202" s="972"/>
      <c r="J202" s="973"/>
      <c r="K202" s="973"/>
      <c r="L202" s="973"/>
      <c r="M202" s="973"/>
      <c r="N202" s="973"/>
      <c r="O202" s="974"/>
    </row>
    <row r="203" spans="1:15" ht="12.75" hidden="1" customHeight="1" x14ac:dyDescent="0.2">
      <c r="A203" s="306"/>
      <c r="B203" s="966"/>
      <c r="C203" s="967"/>
      <c r="D203" s="968"/>
      <c r="E203" s="129"/>
      <c r="F203" s="129"/>
      <c r="G203" s="129"/>
      <c r="H203" s="53"/>
      <c r="I203" s="975"/>
      <c r="J203" s="976"/>
      <c r="K203" s="976"/>
      <c r="L203" s="976"/>
      <c r="M203" s="976"/>
      <c r="N203" s="976"/>
      <c r="O203" s="977"/>
    </row>
    <row r="204" spans="1:15" ht="12.75" hidden="1" x14ac:dyDescent="0.2">
      <c r="A204" s="963"/>
      <c r="B204" s="964"/>
      <c r="C204" s="964"/>
      <c r="D204" s="964"/>
      <c r="E204" s="964"/>
      <c r="F204" s="964"/>
      <c r="G204" s="965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66"/>
      <c r="C205" s="967"/>
      <c r="D205" s="968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66"/>
      <c r="C206" s="967"/>
      <c r="D206" s="968"/>
      <c r="E206" s="37"/>
      <c r="F206" s="37"/>
      <c r="G206" s="37"/>
      <c r="H206" s="53"/>
    </row>
    <row r="207" spans="1:15" ht="12.75" hidden="1" x14ac:dyDescent="0.2">
      <c r="A207" s="124"/>
      <c r="B207" s="966"/>
      <c r="C207" s="967"/>
      <c r="D207" s="968"/>
      <c r="E207" s="37"/>
      <c r="F207" s="37"/>
      <c r="G207" s="37"/>
      <c r="H207" s="53"/>
      <c r="I207" s="252"/>
      <c r="J207" s="1027"/>
      <c r="K207" s="1028"/>
      <c r="L207" s="1029"/>
      <c r="M207" s="129"/>
      <c r="N207" s="129"/>
      <c r="O207" s="129"/>
    </row>
    <row r="208" spans="1:15" ht="12.75" hidden="1" x14ac:dyDescent="0.2">
      <c r="A208" s="124"/>
      <c r="B208" s="966"/>
      <c r="C208" s="967"/>
      <c r="D208" s="968"/>
      <c r="E208" s="37"/>
      <c r="F208" s="37"/>
      <c r="G208" s="37"/>
      <c r="H208" s="53"/>
      <c r="I208" s="318"/>
      <c r="J208" s="1027"/>
      <c r="K208" s="1028"/>
      <c r="L208" s="1029"/>
      <c r="M208" s="128"/>
      <c r="N208" s="128"/>
      <c r="O208" s="132"/>
    </row>
    <row r="209" spans="1:15" ht="12.75" hidden="1" x14ac:dyDescent="0.2">
      <c r="A209" s="124"/>
      <c r="B209" s="966"/>
      <c r="C209" s="967"/>
      <c r="D209" s="968"/>
      <c r="E209" s="37"/>
      <c r="F209" s="37"/>
      <c r="G209" s="37"/>
      <c r="H209" s="53"/>
      <c r="I209" s="315"/>
      <c r="J209" s="1027"/>
      <c r="K209" s="1028"/>
      <c r="L209" s="1029"/>
      <c r="M209" s="128"/>
      <c r="N209" s="128"/>
      <c r="O209" s="132"/>
    </row>
    <row r="210" spans="1:15" ht="12.75" hidden="1" x14ac:dyDescent="0.2">
      <c r="A210" s="124"/>
      <c r="B210" s="966"/>
      <c r="C210" s="967"/>
      <c r="D210" s="968"/>
      <c r="E210" s="37"/>
      <c r="F210" s="37"/>
      <c r="G210" s="37"/>
      <c r="H210" s="53"/>
      <c r="I210" s="315"/>
      <c r="J210" s="1027"/>
      <c r="K210" s="1028"/>
      <c r="L210" s="1029"/>
      <c r="M210" s="128"/>
      <c r="N210" s="128"/>
      <c r="O210" s="132"/>
    </row>
    <row r="211" spans="1:15" ht="12.75" hidden="1" x14ac:dyDescent="0.2">
      <c r="A211" s="124"/>
      <c r="B211" s="966"/>
      <c r="C211" s="967"/>
      <c r="D211" s="968"/>
      <c r="E211" s="37"/>
      <c r="F211" s="37"/>
      <c r="G211" s="37"/>
      <c r="H211" s="53"/>
      <c r="I211" s="315"/>
      <c r="J211" s="1023"/>
      <c r="K211" s="1023"/>
      <c r="L211" s="1023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66"/>
      <c r="C212" s="967"/>
      <c r="D212" s="968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93"/>
      <c r="C213" s="994"/>
      <c r="D213" s="995"/>
      <c r="E213" s="37"/>
      <c r="F213" s="37"/>
      <c r="G213" s="37"/>
      <c r="H213" s="53"/>
      <c r="I213" s="419">
        <f>M186</f>
        <v>0</v>
      </c>
      <c r="J213" s="1008"/>
      <c r="K213" s="1009"/>
      <c r="L213" s="1009"/>
      <c r="M213" s="1009"/>
      <c r="N213" s="1009"/>
      <c r="O213" s="1010"/>
    </row>
    <row r="214" spans="1:15" ht="12.75" hidden="1" x14ac:dyDescent="0.2">
      <c r="A214" s="124"/>
      <c r="B214" s="996"/>
      <c r="C214" s="997"/>
      <c r="D214" s="998"/>
      <c r="E214" s="37"/>
      <c r="F214" s="37"/>
      <c r="G214" s="37"/>
      <c r="H214" s="53"/>
      <c r="I214" s="420"/>
      <c r="J214" s="1011"/>
      <c r="K214" s="1012"/>
      <c r="L214" s="1012"/>
      <c r="M214" s="1012"/>
      <c r="N214" s="1012"/>
      <c r="O214" s="1013"/>
    </row>
    <row r="215" spans="1:15" ht="12.75" hidden="1" x14ac:dyDescent="0.2">
      <c r="A215" s="252"/>
      <c r="B215" s="966"/>
      <c r="C215" s="967"/>
      <c r="D215" s="311"/>
      <c r="E215" s="308"/>
      <c r="F215" s="308"/>
      <c r="G215" s="308"/>
      <c r="H215" s="53"/>
      <c r="I215" s="419">
        <f>N186</f>
        <v>0</v>
      </c>
      <c r="J215" s="1008"/>
      <c r="K215" s="1009"/>
      <c r="L215" s="1009"/>
      <c r="M215" s="1009"/>
      <c r="N215" s="1009"/>
      <c r="O215" s="1010"/>
    </row>
    <row r="216" spans="1:15" ht="12.75" hidden="1" x14ac:dyDescent="0.2">
      <c r="A216" s="124"/>
      <c r="B216" s="999"/>
      <c r="C216" s="1000"/>
      <c r="D216" s="1001"/>
      <c r="E216" s="129"/>
      <c r="F216" s="129"/>
      <c r="G216" s="129"/>
      <c r="H216" s="53"/>
      <c r="I216" s="420"/>
      <c r="J216" s="1014"/>
      <c r="K216" s="1015"/>
      <c r="L216" s="1015"/>
      <c r="M216" s="1015"/>
      <c r="N216" s="1015"/>
      <c r="O216" s="1016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1008"/>
      <c r="K217" s="1009"/>
      <c r="L217" s="1009"/>
      <c r="M217" s="1009"/>
      <c r="N217" s="1009"/>
      <c r="O217" s="1010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1014"/>
      <c r="K218" s="1015"/>
      <c r="L218" s="1015"/>
      <c r="M218" s="1015"/>
      <c r="N218" s="1015"/>
      <c r="O218" s="1016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62"/>
      <c r="C221" s="962"/>
      <c r="D221" s="962"/>
      <c r="E221" s="962"/>
      <c r="F221" s="962"/>
      <c r="G221" s="962"/>
      <c r="H221" s="962"/>
      <c r="I221" s="962"/>
      <c r="J221" s="962"/>
      <c r="K221" s="962"/>
      <c r="L221" s="962"/>
      <c r="M221" s="962"/>
      <c r="N221" s="962"/>
      <c r="O221" s="962"/>
    </row>
    <row r="222" spans="1:15" ht="17.25" hidden="1" customHeight="1" x14ac:dyDescent="0.2">
      <c r="A222" s="276"/>
      <c r="B222" s="962"/>
      <c r="C222" s="962"/>
      <c r="D222" s="962"/>
      <c r="E222" s="962"/>
      <c r="F222" s="962"/>
      <c r="G222" s="962"/>
      <c r="H222" s="962"/>
      <c r="I222" s="962"/>
      <c r="J222" s="962"/>
      <c r="K222" s="962"/>
      <c r="L222" s="962"/>
      <c r="M222" s="962"/>
      <c r="N222" s="962"/>
      <c r="O222" s="962"/>
    </row>
    <row r="223" spans="1:15" ht="21.75" hidden="1" customHeight="1" x14ac:dyDescent="0.2">
      <c r="A223" s="958"/>
      <c r="B223" s="959"/>
      <c r="C223" s="959"/>
      <c r="D223" s="959"/>
      <c r="E223" s="959"/>
      <c r="F223" s="959"/>
      <c r="G223" s="979"/>
      <c r="H223" s="131"/>
      <c r="I223" s="980"/>
      <c r="J223" s="959"/>
      <c r="K223" s="959"/>
      <c r="L223" s="959"/>
      <c r="M223" s="959"/>
      <c r="N223" s="959"/>
      <c r="O223" s="97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63"/>
      <c r="J226" s="964"/>
      <c r="K226" s="964"/>
      <c r="L226" s="964"/>
      <c r="M226" s="964"/>
      <c r="N226" s="964"/>
      <c r="O226" s="965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9"/>
      <c r="B228" s="970"/>
      <c r="C228" s="970"/>
      <c r="D228" s="970"/>
      <c r="E228" s="970"/>
      <c r="F228" s="970"/>
      <c r="G228" s="971"/>
      <c r="H228" s="10"/>
    </row>
    <row r="229" spans="1:15" ht="12.75" hidden="1" x14ac:dyDescent="0.2">
      <c r="A229" s="963"/>
      <c r="B229" s="964"/>
      <c r="C229" s="964"/>
      <c r="D229" s="964"/>
      <c r="E229" s="964"/>
      <c r="F229" s="964"/>
      <c r="G229" s="965"/>
      <c r="H229" s="31"/>
      <c r="I229" s="963"/>
      <c r="J229" s="964"/>
      <c r="K229" s="964"/>
      <c r="L229" s="964"/>
      <c r="M229" s="964"/>
      <c r="N229" s="964"/>
      <c r="O229" s="965"/>
    </row>
    <row r="230" spans="1:15" ht="12.75" hidden="1" x14ac:dyDescent="0.2">
      <c r="A230" s="124"/>
      <c r="B230" s="966"/>
      <c r="C230" s="967"/>
      <c r="D230" s="968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66"/>
      <c r="C231" s="967"/>
      <c r="D231" s="968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66"/>
      <c r="C232" s="967"/>
      <c r="D232" s="968"/>
      <c r="E232" s="37"/>
      <c r="F232" s="37"/>
      <c r="G232" s="37"/>
      <c r="H232" s="53"/>
      <c r="I232" s="390"/>
      <c r="J232" s="387"/>
      <c r="K232" s="389"/>
      <c r="L232" s="388"/>
      <c r="M232" s="302"/>
      <c r="N232" s="548"/>
      <c r="O232" s="550"/>
    </row>
    <row r="233" spans="1:15" ht="12.75" hidden="1" x14ac:dyDescent="0.2">
      <c r="A233" s="124"/>
      <c r="B233" s="966"/>
      <c r="C233" s="967"/>
      <c r="D233" s="968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66"/>
      <c r="C234" s="967"/>
      <c r="D234" s="968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66"/>
      <c r="C235" s="967"/>
      <c r="D235" s="968"/>
      <c r="E235" s="37"/>
      <c r="F235" s="37"/>
      <c r="G235" s="37"/>
      <c r="H235" s="53"/>
    </row>
    <row r="236" spans="1:15" ht="12.75" hidden="1" x14ac:dyDescent="0.2">
      <c r="A236" s="124"/>
      <c r="B236" s="966"/>
      <c r="C236" s="967"/>
      <c r="D236" s="968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66"/>
      <c r="C237" s="967"/>
      <c r="D237" s="968"/>
      <c r="E237" s="37"/>
      <c r="F237" s="37"/>
      <c r="G237" s="37"/>
      <c r="H237" s="53"/>
    </row>
    <row r="238" spans="1:15" ht="12.75" hidden="1" x14ac:dyDescent="0.2">
      <c r="A238" s="124"/>
      <c r="B238" s="966"/>
      <c r="C238" s="967"/>
      <c r="D238" s="968"/>
      <c r="E238" s="37"/>
      <c r="F238" s="37"/>
      <c r="G238" s="37"/>
      <c r="H238" s="53"/>
    </row>
    <row r="239" spans="1:15" ht="12.75" hidden="1" x14ac:dyDescent="0.2">
      <c r="A239" s="124"/>
      <c r="B239" s="966"/>
      <c r="C239" s="967"/>
      <c r="D239" s="968"/>
      <c r="E239" s="37"/>
      <c r="F239" s="37"/>
      <c r="G239" s="37"/>
      <c r="H239" s="53"/>
    </row>
    <row r="240" spans="1:15" ht="12.75" hidden="1" x14ac:dyDescent="0.2">
      <c r="A240" s="124"/>
      <c r="B240" s="966"/>
      <c r="C240" s="967"/>
      <c r="D240" s="968"/>
      <c r="E240" s="37"/>
      <c r="F240" s="37"/>
      <c r="G240" s="37"/>
      <c r="H240" s="53"/>
      <c r="I240" s="972"/>
      <c r="J240" s="973"/>
      <c r="K240" s="973"/>
      <c r="L240" s="973"/>
      <c r="M240" s="973"/>
      <c r="N240" s="973"/>
      <c r="O240" s="974"/>
    </row>
    <row r="241" spans="1:15" ht="12.75" hidden="1" customHeight="1" x14ac:dyDescent="0.2">
      <c r="A241" s="306"/>
      <c r="B241" s="966"/>
      <c r="C241" s="967"/>
      <c r="D241" s="968"/>
      <c r="E241" s="129"/>
      <c r="F241" s="129"/>
      <c r="G241" s="129"/>
      <c r="H241" s="53"/>
      <c r="I241" s="975"/>
      <c r="J241" s="976"/>
      <c r="K241" s="976"/>
      <c r="L241" s="976"/>
      <c r="M241" s="976"/>
      <c r="N241" s="976"/>
      <c r="O241" s="977"/>
    </row>
    <row r="242" spans="1:15" ht="12.75" hidden="1" x14ac:dyDescent="0.2">
      <c r="A242" s="963"/>
      <c r="B242" s="964"/>
      <c r="C242" s="964"/>
      <c r="D242" s="964"/>
      <c r="E242" s="964"/>
      <c r="F242" s="964"/>
      <c r="G242" s="965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66"/>
      <c r="C243" s="967"/>
      <c r="D243" s="968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66"/>
      <c r="C244" s="967"/>
      <c r="D244" s="968"/>
      <c r="E244" s="37"/>
      <c r="F244" s="37"/>
      <c r="G244" s="37"/>
      <c r="H244" s="53"/>
    </row>
    <row r="245" spans="1:15" ht="12.75" hidden="1" x14ac:dyDescent="0.2">
      <c r="A245" s="124"/>
      <c r="B245" s="966"/>
      <c r="C245" s="967"/>
      <c r="D245" s="968"/>
      <c r="E245" s="37"/>
      <c r="F245" s="37"/>
      <c r="G245" s="37"/>
      <c r="H245" s="53"/>
      <c r="I245" s="252"/>
      <c r="J245" s="1027"/>
      <c r="K245" s="1028"/>
      <c r="L245" s="1029"/>
      <c r="M245" s="129"/>
      <c r="N245" s="129"/>
      <c r="O245" s="129"/>
    </row>
    <row r="246" spans="1:15" ht="12.75" hidden="1" x14ac:dyDescent="0.2">
      <c r="A246" s="124"/>
      <c r="B246" s="966"/>
      <c r="C246" s="967"/>
      <c r="D246" s="968"/>
      <c r="E246" s="37"/>
      <c r="F246" s="37"/>
      <c r="G246" s="37"/>
      <c r="H246" s="53"/>
      <c r="I246" s="318"/>
      <c r="J246" s="1027"/>
      <c r="K246" s="1028"/>
      <c r="L246" s="1029"/>
      <c r="M246" s="128"/>
      <c r="N246" s="128"/>
      <c r="O246" s="132"/>
    </row>
    <row r="247" spans="1:15" ht="12.75" hidden="1" x14ac:dyDescent="0.2">
      <c r="A247" s="124"/>
      <c r="B247" s="966"/>
      <c r="C247" s="967"/>
      <c r="D247" s="968"/>
      <c r="E247" s="37"/>
      <c r="F247" s="37"/>
      <c r="G247" s="37"/>
      <c r="H247" s="53"/>
      <c r="I247" s="315"/>
      <c r="J247" s="1027"/>
      <c r="K247" s="1028"/>
      <c r="L247" s="1029"/>
      <c r="M247" s="128"/>
      <c r="N247" s="128"/>
      <c r="O247" s="132"/>
    </row>
    <row r="248" spans="1:15" ht="12.75" hidden="1" x14ac:dyDescent="0.2">
      <c r="A248" s="124"/>
      <c r="B248" s="966"/>
      <c r="C248" s="967"/>
      <c r="D248" s="968"/>
      <c r="E248" s="37"/>
      <c r="F248" s="37"/>
      <c r="G248" s="37"/>
      <c r="H248" s="53"/>
      <c r="I248" s="315"/>
      <c r="J248" s="1027"/>
      <c r="K248" s="1028"/>
      <c r="L248" s="1029"/>
      <c r="M248" s="128"/>
      <c r="N248" s="128"/>
      <c r="O248" s="132"/>
    </row>
    <row r="249" spans="1:15" ht="12.75" hidden="1" x14ac:dyDescent="0.2">
      <c r="A249" s="124"/>
      <c r="B249" s="966"/>
      <c r="C249" s="967"/>
      <c r="D249" s="968"/>
      <c r="E249" s="37"/>
      <c r="F249" s="37"/>
      <c r="G249" s="37"/>
      <c r="H249" s="53"/>
      <c r="I249" s="315"/>
      <c r="J249" s="1023"/>
      <c r="K249" s="1023"/>
      <c r="L249" s="1023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66"/>
      <c r="C250" s="967"/>
      <c r="D250" s="968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66"/>
      <c r="C251" s="967"/>
      <c r="D251" s="968"/>
      <c r="E251" s="37"/>
      <c r="F251" s="37"/>
      <c r="G251" s="37"/>
      <c r="H251" s="53"/>
      <c r="I251" s="419">
        <f>M224</f>
        <v>0</v>
      </c>
      <c r="J251" s="1008"/>
      <c r="K251" s="1009"/>
      <c r="L251" s="1009"/>
      <c r="M251" s="1009"/>
      <c r="N251" s="1009"/>
      <c r="O251" s="1010"/>
    </row>
    <row r="252" spans="1:15" ht="12.75" hidden="1" x14ac:dyDescent="0.2">
      <c r="A252" s="124"/>
      <c r="B252" s="996"/>
      <c r="C252" s="997"/>
      <c r="D252" s="998"/>
      <c r="E252" s="37"/>
      <c r="F252" s="37"/>
      <c r="G252" s="37"/>
      <c r="H252" s="53"/>
      <c r="I252" s="420"/>
      <c r="J252" s="1011"/>
      <c r="K252" s="1012"/>
      <c r="L252" s="1012"/>
      <c r="M252" s="1012"/>
      <c r="N252" s="1012"/>
      <c r="O252" s="1013"/>
    </row>
    <row r="253" spans="1:15" ht="12.75" hidden="1" x14ac:dyDescent="0.2">
      <c r="A253" s="252"/>
      <c r="B253" s="966"/>
      <c r="C253" s="967"/>
      <c r="D253" s="311"/>
      <c r="E253" s="308"/>
      <c r="F253" s="308"/>
      <c r="G253" s="308"/>
      <c r="H253" s="53"/>
      <c r="I253" s="419">
        <f>N224</f>
        <v>0</v>
      </c>
      <c r="J253" s="1008"/>
      <c r="K253" s="1009"/>
      <c r="L253" s="1009"/>
      <c r="M253" s="1009"/>
      <c r="N253" s="1009"/>
      <c r="O253" s="1010"/>
    </row>
    <row r="254" spans="1:15" ht="12.75" hidden="1" x14ac:dyDescent="0.2">
      <c r="A254" s="124"/>
      <c r="B254" s="999"/>
      <c r="C254" s="1000"/>
      <c r="D254" s="1001"/>
      <c r="E254" s="129"/>
      <c r="F254" s="129"/>
      <c r="G254" s="129"/>
      <c r="H254" s="53"/>
      <c r="I254" s="420"/>
      <c r="J254" s="1014"/>
      <c r="K254" s="1015"/>
      <c r="L254" s="1015"/>
      <c r="M254" s="1015"/>
      <c r="N254" s="1015"/>
      <c r="O254" s="1016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1008"/>
      <c r="K255" s="1009"/>
      <c r="L255" s="1009"/>
      <c r="M255" s="1009"/>
      <c r="N255" s="1009"/>
      <c r="O255" s="1010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1014"/>
      <c r="K256" s="1015"/>
      <c r="L256" s="1015"/>
      <c r="M256" s="1015"/>
      <c r="N256" s="1015"/>
      <c r="O256" s="1016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62"/>
      <c r="C259" s="962"/>
      <c r="D259" s="962"/>
      <c r="E259" s="962"/>
      <c r="F259" s="962"/>
      <c r="G259" s="962"/>
      <c r="H259" s="962"/>
      <c r="I259" s="962"/>
      <c r="J259" s="962"/>
      <c r="K259" s="962"/>
      <c r="L259" s="962"/>
      <c r="M259" s="962"/>
      <c r="N259" s="962"/>
      <c r="O259" s="962"/>
    </row>
    <row r="260" spans="1:15" ht="17.25" hidden="1" customHeight="1" x14ac:dyDescent="0.2">
      <c r="A260" s="276"/>
      <c r="B260" s="962"/>
      <c r="C260" s="962"/>
      <c r="D260" s="962"/>
      <c r="E260" s="962"/>
      <c r="F260" s="962"/>
      <c r="G260" s="962"/>
      <c r="H260" s="962"/>
      <c r="I260" s="962"/>
      <c r="J260" s="962"/>
      <c r="K260" s="962"/>
      <c r="L260" s="962"/>
      <c r="M260" s="962"/>
      <c r="N260" s="962"/>
      <c r="O260" s="962"/>
    </row>
    <row r="261" spans="1:15" ht="22.5" hidden="1" customHeight="1" x14ac:dyDescent="0.2">
      <c r="A261" s="958"/>
      <c r="B261" s="959"/>
      <c r="C261" s="959"/>
      <c r="D261" s="959"/>
      <c r="E261" s="959"/>
      <c r="F261" s="959"/>
      <c r="G261" s="979"/>
      <c r="H261" s="131"/>
      <c r="I261" s="980"/>
      <c r="J261" s="959"/>
      <c r="K261" s="959"/>
      <c r="L261" s="959"/>
      <c r="M261" s="959"/>
      <c r="N261" s="959"/>
      <c r="O261" s="97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63"/>
      <c r="J264" s="964"/>
      <c r="K264" s="964"/>
      <c r="L264" s="964"/>
      <c r="M264" s="964"/>
      <c r="N264" s="964"/>
      <c r="O264" s="965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30"/>
      <c r="B266" s="1031"/>
      <c r="C266" s="1031"/>
      <c r="D266" s="1031"/>
      <c r="E266" s="1031"/>
      <c r="F266" s="1031"/>
      <c r="G266" s="1032"/>
      <c r="H266" s="10"/>
    </row>
    <row r="267" spans="1:15" ht="12.75" hidden="1" x14ac:dyDescent="0.2">
      <c r="A267" s="963"/>
      <c r="B267" s="964"/>
      <c r="C267" s="964"/>
      <c r="D267" s="964"/>
      <c r="E267" s="964"/>
      <c r="F267" s="964"/>
      <c r="G267" s="965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66"/>
      <c r="C268" s="967"/>
      <c r="D268" s="968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66"/>
      <c r="C269" s="967"/>
      <c r="D269" s="968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66"/>
      <c r="C270" s="967"/>
      <c r="D270" s="968"/>
      <c r="E270" s="37"/>
      <c r="F270" s="37"/>
      <c r="G270" s="37"/>
      <c r="H270" s="53"/>
      <c r="I270" s="390"/>
      <c r="J270" s="387"/>
      <c r="K270" s="389"/>
      <c r="L270" s="388"/>
      <c r="M270" s="302"/>
      <c r="N270" s="548"/>
      <c r="O270" s="548"/>
    </row>
    <row r="271" spans="1:15" ht="12.75" hidden="1" x14ac:dyDescent="0.2">
      <c r="A271" s="124"/>
      <c r="B271" s="966"/>
      <c r="C271" s="967"/>
      <c r="D271" s="968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66"/>
      <c r="C272" s="967"/>
      <c r="D272" s="968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66"/>
      <c r="C273" s="967"/>
      <c r="D273" s="968"/>
      <c r="E273" s="37"/>
      <c r="F273" s="37"/>
      <c r="G273" s="37"/>
      <c r="H273" s="53"/>
    </row>
    <row r="274" spans="1:15" ht="12.75" hidden="1" x14ac:dyDescent="0.2">
      <c r="A274" s="124"/>
      <c r="B274" s="966"/>
      <c r="C274" s="967"/>
      <c r="D274" s="968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66"/>
      <c r="C275" s="967"/>
      <c r="D275" s="968"/>
      <c r="E275" s="37"/>
      <c r="F275" s="37"/>
      <c r="G275" s="37"/>
      <c r="H275" s="53"/>
    </row>
    <row r="276" spans="1:15" ht="12.75" hidden="1" x14ac:dyDescent="0.2">
      <c r="A276" s="124"/>
      <c r="B276" s="966"/>
      <c r="C276" s="967"/>
      <c r="D276" s="968"/>
      <c r="E276" s="37"/>
      <c r="F276" s="37"/>
      <c r="G276" s="37"/>
      <c r="H276" s="53"/>
    </row>
    <row r="277" spans="1:15" ht="12.75" hidden="1" x14ac:dyDescent="0.2">
      <c r="A277" s="124"/>
      <c r="B277" s="966"/>
      <c r="C277" s="967"/>
      <c r="D277" s="968"/>
      <c r="E277" s="37"/>
      <c r="F277" s="37"/>
      <c r="G277" s="37"/>
      <c r="H277" s="53"/>
    </row>
    <row r="278" spans="1:15" ht="12.75" hidden="1" x14ac:dyDescent="0.2">
      <c r="A278" s="124"/>
      <c r="B278" s="966"/>
      <c r="C278" s="967"/>
      <c r="D278" s="968"/>
      <c r="E278" s="37"/>
      <c r="F278" s="37"/>
      <c r="G278" s="37"/>
      <c r="H278" s="53"/>
      <c r="I278" s="972"/>
      <c r="J278" s="973"/>
      <c r="K278" s="973"/>
      <c r="L278" s="973"/>
      <c r="M278" s="973"/>
      <c r="N278" s="973"/>
      <c r="O278" s="974"/>
    </row>
    <row r="279" spans="1:15" ht="12.75" hidden="1" customHeight="1" x14ac:dyDescent="0.2">
      <c r="A279" s="306"/>
      <c r="B279" s="966"/>
      <c r="C279" s="967"/>
      <c r="D279" s="968"/>
      <c r="E279" s="129"/>
      <c r="F279" s="129"/>
      <c r="G279" s="129"/>
      <c r="H279" s="53"/>
      <c r="I279" s="975"/>
      <c r="J279" s="976"/>
      <c r="K279" s="976"/>
      <c r="L279" s="976"/>
      <c r="M279" s="976"/>
      <c r="N279" s="976"/>
      <c r="O279" s="977"/>
    </row>
    <row r="280" spans="1:15" ht="12.75" hidden="1" x14ac:dyDescent="0.2">
      <c r="A280" s="963"/>
      <c r="B280" s="964"/>
      <c r="C280" s="964"/>
      <c r="D280" s="964"/>
      <c r="E280" s="964"/>
      <c r="F280" s="964"/>
      <c r="G280" s="965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66"/>
      <c r="C281" s="967"/>
      <c r="D281" s="968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66"/>
      <c r="C282" s="967"/>
      <c r="D282" s="968"/>
      <c r="E282" s="37"/>
      <c r="F282" s="37"/>
      <c r="G282" s="37"/>
      <c r="H282" s="53"/>
    </row>
    <row r="283" spans="1:15" ht="12.75" hidden="1" x14ac:dyDescent="0.2">
      <c r="A283" s="124"/>
      <c r="B283" s="966"/>
      <c r="C283" s="967"/>
      <c r="D283" s="968"/>
      <c r="E283" s="37"/>
      <c r="F283" s="37"/>
      <c r="G283" s="37"/>
      <c r="H283" s="53"/>
      <c r="I283" s="252"/>
      <c r="J283" s="1034"/>
      <c r="K283" s="1035"/>
      <c r="L283" s="1036"/>
      <c r="M283" s="129"/>
      <c r="N283" s="129"/>
      <c r="O283" s="129"/>
    </row>
    <row r="284" spans="1:15" ht="12.75" hidden="1" x14ac:dyDescent="0.2">
      <c r="A284" s="124"/>
      <c r="B284" s="966"/>
      <c r="C284" s="967"/>
      <c r="D284" s="968"/>
      <c r="E284" s="37"/>
      <c r="F284" s="37"/>
      <c r="G284" s="37"/>
      <c r="H284" s="53"/>
      <c r="I284" s="318"/>
      <c r="J284" s="1034"/>
      <c r="K284" s="1035"/>
      <c r="L284" s="1036"/>
      <c r="M284" s="128"/>
      <c r="N284" s="128"/>
      <c r="O284" s="132"/>
    </row>
    <row r="285" spans="1:15" ht="12.75" hidden="1" x14ac:dyDescent="0.2">
      <c r="A285" s="124"/>
      <c r="B285" s="966"/>
      <c r="C285" s="967"/>
      <c r="D285" s="968"/>
      <c r="E285" s="37"/>
      <c r="F285" s="37"/>
      <c r="G285" s="37"/>
      <c r="H285" s="53"/>
      <c r="I285" s="315"/>
      <c r="J285" s="1034"/>
      <c r="K285" s="1035"/>
      <c r="L285" s="1036"/>
      <c r="M285" s="128"/>
      <c r="N285" s="128"/>
      <c r="O285" s="132"/>
    </row>
    <row r="286" spans="1:15" ht="12.75" hidden="1" x14ac:dyDescent="0.2">
      <c r="A286" s="124"/>
      <c r="B286" s="966"/>
      <c r="C286" s="967"/>
      <c r="D286" s="968"/>
      <c r="E286" s="37"/>
      <c r="F286" s="37"/>
      <c r="G286" s="37"/>
      <c r="H286" s="53"/>
      <c r="I286" s="315"/>
      <c r="J286" s="1034"/>
      <c r="K286" s="1035"/>
      <c r="L286" s="1036"/>
      <c r="M286" s="128"/>
      <c r="N286" s="128"/>
      <c r="O286" s="132"/>
    </row>
    <row r="287" spans="1:15" ht="12.75" hidden="1" x14ac:dyDescent="0.2">
      <c r="A287" s="124"/>
      <c r="B287" s="966"/>
      <c r="C287" s="967"/>
      <c r="D287" s="968"/>
      <c r="E287" s="37"/>
      <c r="F287" s="37"/>
      <c r="G287" s="37"/>
      <c r="H287" s="53"/>
      <c r="I287" s="315"/>
      <c r="J287" s="1023"/>
      <c r="K287" s="1023"/>
      <c r="L287" s="1023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66"/>
      <c r="C288" s="967"/>
      <c r="D288" s="968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66"/>
      <c r="C289" s="967"/>
      <c r="D289" s="968"/>
      <c r="E289" s="37"/>
      <c r="F289" s="37"/>
      <c r="G289" s="37"/>
      <c r="H289" s="53"/>
      <c r="I289" s="419">
        <f>M262</f>
        <v>0</v>
      </c>
      <c r="J289" s="1008"/>
      <c r="K289" s="1009"/>
      <c r="L289" s="1009"/>
      <c r="M289" s="1009"/>
      <c r="N289" s="1009"/>
      <c r="O289" s="1010"/>
    </row>
    <row r="290" spans="1:15" ht="12.75" hidden="1" x14ac:dyDescent="0.2">
      <c r="A290" s="124"/>
      <c r="B290" s="996"/>
      <c r="C290" s="997"/>
      <c r="D290" s="998"/>
      <c r="E290" s="37"/>
      <c r="F290" s="37"/>
      <c r="G290" s="37"/>
      <c r="H290" s="53"/>
      <c r="I290" s="420"/>
      <c r="J290" s="1011"/>
      <c r="K290" s="1012"/>
      <c r="L290" s="1012"/>
      <c r="M290" s="1012"/>
      <c r="N290" s="1012"/>
      <c r="O290" s="1013"/>
    </row>
    <row r="291" spans="1:15" ht="12.75" hidden="1" x14ac:dyDescent="0.2">
      <c r="A291" s="252"/>
      <c r="B291" s="966"/>
      <c r="C291" s="967"/>
      <c r="D291" s="311"/>
      <c r="E291" s="308"/>
      <c r="F291" s="308"/>
      <c r="G291" s="308"/>
      <c r="H291" s="53"/>
      <c r="I291" s="419">
        <f>N262</f>
        <v>0</v>
      </c>
      <c r="J291" s="1008"/>
      <c r="K291" s="1009"/>
      <c r="L291" s="1009"/>
      <c r="M291" s="1009"/>
      <c r="N291" s="1009"/>
      <c r="O291" s="1010"/>
    </row>
    <row r="292" spans="1:15" ht="12.75" hidden="1" x14ac:dyDescent="0.2">
      <c r="A292" s="124"/>
      <c r="B292" s="999"/>
      <c r="C292" s="1000"/>
      <c r="D292" s="1001"/>
      <c r="E292" s="129"/>
      <c r="F292" s="129"/>
      <c r="G292" s="129"/>
      <c r="H292" s="53"/>
      <c r="I292" s="420"/>
      <c r="J292" s="1014"/>
      <c r="K292" s="1015"/>
      <c r="L292" s="1015"/>
      <c r="M292" s="1015"/>
      <c r="N292" s="1015"/>
      <c r="O292" s="1016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1008"/>
      <c r="K293" s="1009"/>
      <c r="L293" s="1009"/>
      <c r="M293" s="1009"/>
      <c r="N293" s="1009"/>
      <c r="O293" s="1010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1014"/>
      <c r="K294" s="1015"/>
      <c r="L294" s="1015"/>
      <c r="M294" s="1015"/>
      <c r="N294" s="1015"/>
      <c r="O294" s="1016"/>
    </row>
  </sheetData>
  <sheetProtection algorithmName="SHA-512" hashValue="IAImRfi4+O7q/zL41r17J8ns5rwhrMlgci9N9U0/aKcqCm+A3ppCGJRSla/l3PG1Ktgdw9Ou+biZMBbwUR0BiA==" saltValue="taoc0Yeu0CEQNzyETt+ur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C76" zoomScaleNormal="10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21" t="str">
        <f>'(G1) Fjalori'!A419</f>
        <v>(F1) BURIMET BUXHETORE</v>
      </c>
      <c r="B1" s="921"/>
      <c r="C1" s="921"/>
      <c r="D1" s="921"/>
      <c r="E1" s="921"/>
      <c r="F1" s="921"/>
      <c r="G1" s="921"/>
      <c r="H1" s="921"/>
      <c r="I1" s="921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2019</v>
      </c>
      <c r="E3" s="224">
        <f>'(E1) Vlerësimi i burimeve'!E5</f>
        <v>2020</v>
      </c>
      <c r="F3" s="224">
        <f>'(E1) Vlerësimi i burimeve'!F5</f>
        <v>2021</v>
      </c>
      <c r="G3" s="171">
        <f>'(E1) Vlerësimi i burimeve'!G5</f>
        <v>2022</v>
      </c>
      <c r="H3" s="171">
        <f>'(E1) Vlerësimi i burimeve'!P5</f>
        <v>2023</v>
      </c>
      <c r="I3" s="171">
        <f>'(E1) Vlerësimi i burimeve'!Y5</f>
        <v>2024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89" t="str">
        <f>'(C2) Burimet viti kaluar'!C7</f>
        <v>A</v>
      </c>
      <c r="B5" s="911" t="str">
        <f>'(E1) Vlerësimi i burimeve'!B7</f>
        <v>TË ARDHURA NGA BURIMET E VETA</v>
      </c>
      <c r="C5" s="912"/>
      <c r="D5" s="398">
        <f>'(E1) Vlerësimi i burimeve'!D7</f>
        <v>119400</v>
      </c>
      <c r="E5" s="398">
        <f>'(E1) Vlerësimi i burimeve'!E7</f>
        <v>117869</v>
      </c>
      <c r="F5" s="398">
        <f>'(E1) Vlerësimi i burimeve'!F7</f>
        <v>151065</v>
      </c>
      <c r="G5" s="398">
        <f>'(E1) Vlerësimi i burimeve'!O7</f>
        <v>151065.39000000001</v>
      </c>
      <c r="H5" s="398">
        <f>'(E1) Vlerësimi i burimeve'!X7</f>
        <v>151065.39000000001</v>
      </c>
      <c r="I5" s="398">
        <f>'(E1) Vlerësimi i burimeve'!AG7</f>
        <v>151065.39000000001</v>
      </c>
    </row>
    <row r="6" spans="1:9" ht="18.75" x14ac:dyDescent="0.25">
      <c r="A6" s="688" t="str">
        <f>'(C2) Burimet viti kaluar'!C8</f>
        <v>A.1</v>
      </c>
      <c r="B6" s="876" t="str">
        <f>'(E1) Vlerësimi i burimeve'!B8</f>
        <v>TË ARDHURA NGA TAKSAT LOKALE</v>
      </c>
      <c r="C6" s="877"/>
      <c r="D6" s="399">
        <f>'(E1) Vlerësimi i burimeve'!D8</f>
        <v>28580</v>
      </c>
      <c r="E6" s="399">
        <f>'(E1) Vlerësimi i burimeve'!E8</f>
        <v>24707</v>
      </c>
      <c r="F6" s="399">
        <f>'(E1) Vlerësimi i burimeve'!F8</f>
        <v>40101</v>
      </c>
      <c r="G6" s="399">
        <f>'(E1) Vlerësimi i burimeve'!O8</f>
        <v>48685.69</v>
      </c>
      <c r="H6" s="399">
        <f>'(E1) Vlerësimi i burimeve'!X8</f>
        <v>48685.69</v>
      </c>
      <c r="I6" s="399">
        <f>'(E1) Vlerësimi i burimeve'!AG8</f>
        <v>48685.69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2073</v>
      </c>
      <c r="E7" s="235">
        <f>'(E1) Vlerësimi i burimeve'!E9</f>
        <v>1046</v>
      </c>
      <c r="F7" s="235">
        <f>'(E1) Vlerësimi i burimeve'!F9</f>
        <v>2100</v>
      </c>
      <c r="G7" s="36">
        <f>'(E1) Vlerësimi i burimeve'!O9</f>
        <v>2457</v>
      </c>
      <c r="H7" s="36">
        <f>'(E1) Vlerësimi i burimeve'!X9</f>
        <v>2457</v>
      </c>
      <c r="I7" s="36">
        <f>'(E1) Vlerësimi i burimeve'!AG9</f>
        <v>2457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14291</v>
      </c>
      <c r="E8" s="248">
        <f>'(E1) Vlerësimi i burimeve'!E10</f>
        <v>11880</v>
      </c>
      <c r="F8" s="248">
        <f>'(E1) Vlerësimi i burimeve'!F10</f>
        <v>24101</v>
      </c>
      <c r="G8" s="248">
        <f>'(E1) Vlerësimi i burimeve'!O10</f>
        <v>28638.69</v>
      </c>
      <c r="H8" s="248">
        <f>'(E1) Vlerësimi i burimeve'!X10</f>
        <v>28638.69</v>
      </c>
      <c r="I8" s="522">
        <f>'(E1) Vlerësimi i burimeve'!AG10</f>
        <v>28638.69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11344</v>
      </c>
      <c r="E9" s="235">
        <f>'(E1) Vlerësimi i burimeve'!E11</f>
        <v>8914</v>
      </c>
      <c r="F9" s="235">
        <f>'(E1) Vlerësimi i burimeve'!F11</f>
        <v>17451</v>
      </c>
      <c r="G9" s="36">
        <f>'(E1) Vlerësimi i burimeve'!O11</f>
        <v>20766.689999999999</v>
      </c>
      <c r="H9" s="36">
        <f>'(E1) Vlerësimi i burimeve'!X11</f>
        <v>20766.689999999999</v>
      </c>
      <c r="I9" s="36">
        <f>'(E1) Vlerësimi i burimeve'!AG11</f>
        <v>20766.689999999999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2267</v>
      </c>
      <c r="E10" s="235">
        <f>'(E1) Vlerësimi i burimeve'!E12</f>
        <v>1393</v>
      </c>
      <c r="F10" s="235">
        <f>'(E1) Vlerësimi i burimeve'!F12</f>
        <v>5300</v>
      </c>
      <c r="G10" s="36">
        <f>'(E1) Vlerësimi i burimeve'!O12</f>
        <v>6254</v>
      </c>
      <c r="H10" s="36">
        <f>'(E1) Vlerësimi i burimeve'!X12</f>
        <v>6254</v>
      </c>
      <c r="I10" s="36">
        <f>'(E1) Vlerësimi i burimeve'!AG12</f>
        <v>6254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463</v>
      </c>
      <c r="E11" s="235">
        <f>'(E1) Vlerësimi i burimeve'!E13</f>
        <v>814</v>
      </c>
      <c r="F11" s="235">
        <f>'(E1) Vlerësimi i burimeve'!F13</f>
        <v>850</v>
      </c>
      <c r="G11" s="36">
        <f>'(E1) Vlerësimi i burimeve'!O13</f>
        <v>1003</v>
      </c>
      <c r="H11" s="36">
        <f>'(E1) Vlerësimi i burimeve'!X13</f>
        <v>1003</v>
      </c>
      <c r="I11" s="36">
        <f>'(E1) Vlerësimi i burimeve'!AG13</f>
        <v>1003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217</v>
      </c>
      <c r="E12" s="235">
        <f>'(E1) Vlerësimi i burimeve'!E14</f>
        <v>759</v>
      </c>
      <c r="F12" s="235">
        <f>'(E1) Vlerësimi i burimeve'!F14</f>
        <v>500</v>
      </c>
      <c r="G12" s="36">
        <f>'(E1) Vlerësimi i burimeve'!O14</f>
        <v>615</v>
      </c>
      <c r="H12" s="36">
        <f>'(E1) Vlerësimi i burimeve'!X14</f>
        <v>615</v>
      </c>
      <c r="I12" s="36">
        <f>'(E1) Vlerësimi i burimeve'!AG14</f>
        <v>615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513</v>
      </c>
      <c r="E13" s="235">
        <f>'(E1) Vlerësimi i burimeve'!E15</f>
        <v>272</v>
      </c>
      <c r="F13" s="235">
        <f>'(E1) Vlerësimi i burimeve'!F15</f>
        <v>3000</v>
      </c>
      <c r="G13" s="36">
        <f>'(E1) Vlerësimi i burimeve'!O15</f>
        <v>3564</v>
      </c>
      <c r="H13" s="36">
        <f>'(E1) Vlerësimi i burimeve'!X15</f>
        <v>3564</v>
      </c>
      <c r="I13" s="36">
        <f>'(E1) Vlerësimi i burimeve'!AG15</f>
        <v>3564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10952</v>
      </c>
      <c r="E14" s="235">
        <f>'(E1) Vlerësimi i burimeve'!E16</f>
        <v>10468</v>
      </c>
      <c r="F14" s="235">
        <f>'(E1) Vlerësimi i burimeve'!F16</f>
        <v>10000</v>
      </c>
      <c r="G14" s="36">
        <f>'(E1) Vlerësimi i burimeve'!O16</f>
        <v>13000</v>
      </c>
      <c r="H14" s="36">
        <f>'(E1) Vlerësimi i burimeve'!X16</f>
        <v>13000</v>
      </c>
      <c r="I14" s="36">
        <f>'(E1) Vlerësimi i burimeve'!AG16</f>
        <v>13000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751</v>
      </c>
      <c r="E15" s="235">
        <f>'(E1) Vlerësimi i burimeve'!E17</f>
        <v>1041</v>
      </c>
      <c r="F15" s="235">
        <f>'(E1) Vlerësimi i burimeve'!F17</f>
        <v>900</v>
      </c>
      <c r="G15" s="36">
        <f>'(E1) Vlerësimi i burimeve'!O17</f>
        <v>1026</v>
      </c>
      <c r="H15" s="36">
        <f>'(E1) Vlerësimi i burimeve'!X17</f>
        <v>1026</v>
      </c>
      <c r="I15" s="36">
        <f>'(E1) Vlerësimi i burimeve'!AG17</f>
        <v>1026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8" t="str">
        <f>'(C2) Burimet viti kaluar'!C22</f>
        <v>A.2</v>
      </c>
      <c r="B20" s="876" t="str">
        <f>'(E1) Vlerësimi i burimeve'!B22</f>
        <v>TË ARDHURA NGA TAKSAT E NDARA (GRANTE)</v>
      </c>
      <c r="C20" s="877"/>
      <c r="D20" s="399">
        <f>'(E1) Vlerësimi i burimeve'!D22</f>
        <v>17508</v>
      </c>
      <c r="E20" s="399">
        <f>'(E1) Vlerësimi i burimeve'!E22</f>
        <v>22353</v>
      </c>
      <c r="F20" s="399">
        <f>'(E1) Vlerësimi i burimeve'!F22</f>
        <v>17600</v>
      </c>
      <c r="G20" s="399">
        <f>'(E1) Vlerësimi i burimeve'!O22</f>
        <v>17600</v>
      </c>
      <c r="H20" s="399">
        <f>'(E1) Vlerësimi i burimeve'!X22</f>
        <v>17600</v>
      </c>
      <c r="I20" s="399">
        <f>'(E1) Vlerësimi i burimeve'!AG22</f>
        <v>17600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0</v>
      </c>
      <c r="E21" s="235">
        <f>'(E1) Vlerësimi i burimeve'!E23</f>
        <v>302</v>
      </c>
      <c r="F21" s="235">
        <f>'(E1) Vlerësimi i burimeve'!F23</f>
        <v>0</v>
      </c>
      <c r="G21" s="36">
        <f>'(E1) Vlerësimi i burimeve'!O23</f>
        <v>0</v>
      </c>
      <c r="H21" s="36">
        <f>'(E1) Vlerësimi i burimeve'!X23</f>
        <v>0</v>
      </c>
      <c r="I21" s="36">
        <f>'(E1) Vlerësimi i burimeve'!AG23</f>
        <v>0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17468</v>
      </c>
      <c r="E22" s="235">
        <f>'(E1) Vlerësimi i burimeve'!E24</f>
        <v>22051</v>
      </c>
      <c r="F22" s="235">
        <f>'(E1) Vlerësimi i burimeve'!F24</f>
        <v>17600</v>
      </c>
      <c r="G22" s="36">
        <f>'(E1) Vlerësimi i burimeve'!O24</f>
        <v>17600</v>
      </c>
      <c r="H22" s="36">
        <f>'(E1) Vlerësimi i burimeve'!X24</f>
        <v>17600</v>
      </c>
      <c r="I22" s="36">
        <f>'(E1) Vlerësimi i burimeve'!AG24</f>
        <v>17600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40</v>
      </c>
      <c r="E23" s="235">
        <f>'(E1) Vlerësimi i burimeve'!E25</f>
        <v>0</v>
      </c>
      <c r="F23" s="235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8" t="str">
        <f>'(C2) Burimet viti kaluar'!C28</f>
        <v>A.3</v>
      </c>
      <c r="B26" s="876" t="str">
        <f>'(E1) Vlerësimi i burimeve'!B31</f>
        <v>TË ARDHURA NGA TARIFA VENDORE</v>
      </c>
      <c r="C26" s="877"/>
      <c r="D26" s="399">
        <f>'(E1) Vlerësimi i burimeve'!D31</f>
        <v>59035</v>
      </c>
      <c r="E26" s="399">
        <f>'(E1) Vlerësimi i burimeve'!E31</f>
        <v>40682</v>
      </c>
      <c r="F26" s="399">
        <f>'(E1) Vlerësimi i burimeve'!F31</f>
        <v>83164</v>
      </c>
      <c r="G26" s="399">
        <f>'(E1) Vlerësimi i burimeve'!O31</f>
        <v>84779.7</v>
      </c>
      <c r="H26" s="399">
        <f>'(E1) Vlerësimi i burimeve'!X31</f>
        <v>84779.7</v>
      </c>
      <c r="I26" s="399">
        <f>'(E1) Vlerësimi i burimeve'!AG31</f>
        <v>84779.7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12415</v>
      </c>
      <c r="E27" s="248">
        <f>'(E1) Vlerësimi i burimeve'!E32</f>
        <v>15159</v>
      </c>
      <c r="F27" s="248">
        <f>'(E1) Vlerësimi i burimeve'!F32</f>
        <v>19050</v>
      </c>
      <c r="G27" s="248">
        <f>'(E1) Vlerësimi i burimeve'!O32</f>
        <v>19253</v>
      </c>
      <c r="H27" s="248">
        <f>'(E1) Vlerësimi i burimeve'!X32</f>
        <v>19253</v>
      </c>
      <c r="I27" s="522">
        <f>'(E1) Vlerësimi i burimeve'!AG32</f>
        <v>19253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1310</v>
      </c>
      <c r="E28" s="235">
        <f>'(E1) Vlerësimi i burimeve'!E33</f>
        <v>3044</v>
      </c>
      <c r="F28" s="235">
        <f>'(E1) Vlerësimi i burimeve'!F33</f>
        <v>6500</v>
      </c>
      <c r="G28" s="36">
        <f>'(E1) Vlerësimi i burimeve'!O33</f>
        <v>6500</v>
      </c>
      <c r="H28" s="36">
        <f>'(E1) Vlerësimi i burimeve'!X33</f>
        <v>6500</v>
      </c>
      <c r="I28" s="36">
        <f>'(E1) Vlerësimi i burimeve'!AG33</f>
        <v>6500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1915</v>
      </c>
      <c r="E29" s="235">
        <f>'(E1) Vlerësimi i burimeve'!E34</f>
        <v>1980</v>
      </c>
      <c r="F29" s="235">
        <f>'(E1) Vlerësimi i burimeve'!F34</f>
        <v>2400</v>
      </c>
      <c r="G29" s="36">
        <f>'(E1) Vlerësimi i burimeve'!O34</f>
        <v>2400</v>
      </c>
      <c r="H29" s="36">
        <f>'(E1) Vlerësimi i burimeve'!X34</f>
        <v>2400</v>
      </c>
      <c r="I29" s="36">
        <f>'(E1) Vlerësimi i burimeve'!AG34</f>
        <v>2400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9190</v>
      </c>
      <c r="E30" s="235">
        <f>'(E1) Vlerësimi i burimeve'!E35</f>
        <v>10135</v>
      </c>
      <c r="F30" s="235">
        <f>'(E1) Vlerësimi i burimeve'!F35</f>
        <v>10150</v>
      </c>
      <c r="G30" s="36">
        <f>'(E1) Vlerësimi i burimeve'!O35</f>
        <v>10353</v>
      </c>
      <c r="H30" s="36">
        <f>'(E1) Vlerësimi i burimeve'!X35</f>
        <v>10353</v>
      </c>
      <c r="I30" s="36">
        <f>'(E1) Vlerësimi i burimeve'!AG35</f>
        <v>10353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2608</v>
      </c>
      <c r="E32" s="248">
        <f>'(E1) Vlerësimi i burimeve'!E37</f>
        <v>1813</v>
      </c>
      <c r="F32" s="248">
        <f>'(E1) Vlerësimi i burimeve'!F37</f>
        <v>4690</v>
      </c>
      <c r="G32" s="248">
        <f>'(E1) Vlerësimi i burimeve'!O37</f>
        <v>4701.2</v>
      </c>
      <c r="H32" s="248">
        <f>'(E1) Vlerësimi i burimeve'!X37</f>
        <v>4701.2</v>
      </c>
      <c r="I32" s="522">
        <f>'(E1) Vlerësimi i burimeve'!AG37</f>
        <v>4701.2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514</v>
      </c>
      <c r="E33" s="235">
        <f>'(E1) Vlerësimi i burimeve'!E38</f>
        <v>323</v>
      </c>
      <c r="F33" s="235">
        <f>'(E1) Vlerësimi i burimeve'!F38</f>
        <v>2300</v>
      </c>
      <c r="G33" s="36">
        <f>'(E1) Vlerësimi i burimeve'!O38</f>
        <v>2300</v>
      </c>
      <c r="H33" s="36">
        <f>'(E1) Vlerësimi i burimeve'!X38</f>
        <v>2300</v>
      </c>
      <c r="I33" s="36">
        <f>'(E1) Vlerësimi i burimeve'!AG38</f>
        <v>2300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138</v>
      </c>
      <c r="E34" s="235">
        <f>'(E1) Vlerësimi i burimeve'!E39</f>
        <v>141</v>
      </c>
      <c r="F34" s="235">
        <f>'(E1) Vlerësimi i burimeve'!F39</f>
        <v>140</v>
      </c>
      <c r="G34" s="36">
        <f>'(E1) Vlerësimi i burimeve'!O39</f>
        <v>151.20000000000002</v>
      </c>
      <c r="H34" s="36">
        <f>'(E1) Vlerësimi i burimeve'!X39</f>
        <v>151.20000000000002</v>
      </c>
      <c r="I34" s="36">
        <f>'(E1) Vlerësimi i burimeve'!AG39</f>
        <v>151.20000000000002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1956</v>
      </c>
      <c r="E35" s="235">
        <f>'(E1) Vlerësimi i burimeve'!E40</f>
        <v>1349</v>
      </c>
      <c r="F35" s="235">
        <f>'(E1) Vlerësimi i burimeve'!F40</f>
        <v>2250</v>
      </c>
      <c r="G35" s="36">
        <f>'(E1) Vlerësimi i burimeve'!O40</f>
        <v>2250</v>
      </c>
      <c r="H35" s="36">
        <f>'(E1) Vlerësimi i burimeve'!X40</f>
        <v>2250</v>
      </c>
      <c r="I35" s="36">
        <f>'(E1) Vlerësimi i burimeve'!AG40</f>
        <v>2250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1244</v>
      </c>
      <c r="E36" s="248">
        <f>'(E1) Vlerësimi i burimeve'!E41</f>
        <v>948</v>
      </c>
      <c r="F36" s="248">
        <f>'(E1) Vlerësimi i burimeve'!F41</f>
        <v>1450</v>
      </c>
      <c r="G36" s="248">
        <f>'(E1) Vlerësimi i burimeve'!O41</f>
        <v>1517.5</v>
      </c>
      <c r="H36" s="248">
        <f>'(E1) Vlerësimi i burimeve'!X41</f>
        <v>1517.5</v>
      </c>
      <c r="I36" s="522">
        <f>'(E1) Vlerësimi i burimeve'!AG41</f>
        <v>1517.5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0</v>
      </c>
      <c r="E37" s="235">
        <f>'(E1) Vlerësimi i burimeve'!E42</f>
        <v>0</v>
      </c>
      <c r="F37" s="235">
        <f>'(E1) Vlerësimi i burimeve'!F42</f>
        <v>0</v>
      </c>
      <c r="G37" s="36">
        <f>'(E1) Vlerësimi i burimeve'!O42</f>
        <v>0</v>
      </c>
      <c r="H37" s="36">
        <f>'(E1) Vlerësimi i burimeve'!X42</f>
        <v>0</v>
      </c>
      <c r="I37" s="36">
        <f>'(E1) Vlerësimi i burimeve'!AG42</f>
        <v>0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81</v>
      </c>
      <c r="E38" s="235">
        <f>'(E1) Vlerësimi i burimeve'!E43</f>
        <v>97</v>
      </c>
      <c r="F38" s="235">
        <f>'(E1) Vlerësimi i burimeve'!F43</f>
        <v>100</v>
      </c>
      <c r="G38" s="36">
        <f>'(E1) Vlerësimi i burimeve'!O43</f>
        <v>100</v>
      </c>
      <c r="H38" s="36">
        <f>'(E1) Vlerësimi i burimeve'!X43</f>
        <v>100</v>
      </c>
      <c r="I38" s="36">
        <f>'(E1) Vlerësimi i burimeve'!AG43</f>
        <v>100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1163</v>
      </c>
      <c r="E39" s="235">
        <f>'(E1) Vlerësimi i burimeve'!E44</f>
        <v>851</v>
      </c>
      <c r="F39" s="235">
        <f>'(E1) Vlerësimi i burimeve'!F44</f>
        <v>1350</v>
      </c>
      <c r="G39" s="36">
        <f>'(E1) Vlerësimi i burimeve'!O44</f>
        <v>1417.5</v>
      </c>
      <c r="H39" s="36">
        <f>'(E1) Vlerësimi i burimeve'!X44</f>
        <v>1417.5</v>
      </c>
      <c r="I39" s="36">
        <f>'(E1) Vlerësimi i burimeve'!AG44</f>
        <v>1417.5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6216</v>
      </c>
      <c r="E40" s="248">
        <f>'(E1) Vlerësimi i burimeve'!E45</f>
        <v>8749</v>
      </c>
      <c r="F40" s="248">
        <f>'(E1) Vlerësimi i burimeve'!F45</f>
        <v>9874</v>
      </c>
      <c r="G40" s="248">
        <f>'(E1) Vlerësimi i burimeve'!O45</f>
        <v>10126</v>
      </c>
      <c r="H40" s="248">
        <f>'(E1) Vlerësimi i burimeve'!X45</f>
        <v>10126</v>
      </c>
      <c r="I40" s="522">
        <f>'(E1) Vlerësimi i burimeve'!AG45</f>
        <v>10126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3102</v>
      </c>
      <c r="E41" s="235">
        <f>'(E1) Vlerësimi i burimeve'!E46</f>
        <v>2774</v>
      </c>
      <c r="F41" s="235">
        <f>'(E1) Vlerësimi i burimeve'!F46</f>
        <v>3000</v>
      </c>
      <c r="G41" s="36">
        <f>'(E1) Vlerësimi i burimeve'!O46</f>
        <v>3000</v>
      </c>
      <c r="H41" s="36">
        <f>'(E1) Vlerësimi i burimeve'!X46</f>
        <v>3000</v>
      </c>
      <c r="I41" s="36">
        <f>'(E1) Vlerësimi i burimeve'!AG46</f>
        <v>3000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0</v>
      </c>
      <c r="E42" s="235">
        <f>'(E1) Vlerësimi i burimeve'!E47</f>
        <v>0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109</v>
      </c>
      <c r="E44" s="235">
        <f>'(E1) Vlerësimi i burimeve'!E49</f>
        <v>243</v>
      </c>
      <c r="F44" s="235">
        <f>'(E1) Vlerësimi i burimeve'!F49</f>
        <v>200</v>
      </c>
      <c r="G44" s="36">
        <f>'(E1) Vlerësimi i burimeve'!O49</f>
        <v>200</v>
      </c>
      <c r="H44" s="36">
        <f>'(E1) Vlerësimi i burimeve'!X49</f>
        <v>200</v>
      </c>
      <c r="I44" s="36">
        <f>'(E1) Vlerësimi i burimeve'!AG49</f>
        <v>200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1261</v>
      </c>
      <c r="E45" s="235">
        <f>'(E1) Vlerësimi i burimeve'!E50</f>
        <v>1533</v>
      </c>
      <c r="F45" s="235">
        <f>'(E1) Vlerësimi i burimeve'!F50</f>
        <v>1600</v>
      </c>
      <c r="G45" s="36">
        <f>'(E1) Vlerësimi i burimeve'!O50</f>
        <v>1680</v>
      </c>
      <c r="H45" s="36">
        <f>'(E1) Vlerësimi i burimeve'!X50</f>
        <v>1680</v>
      </c>
      <c r="I45" s="36">
        <f>'(E1) Vlerësimi i burimeve'!AG50</f>
        <v>1680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782</v>
      </c>
      <c r="E46" s="235">
        <f>'(E1) Vlerësimi i burimeve'!E51</f>
        <v>956</v>
      </c>
      <c r="F46" s="235">
        <f>'(E1) Vlerësimi i burimeve'!F51</f>
        <v>1000</v>
      </c>
      <c r="G46" s="36">
        <f>'(E1) Vlerësimi i burimeve'!O51</f>
        <v>1000</v>
      </c>
      <c r="H46" s="36">
        <f>'(E1) Vlerësimi i burimeve'!X51</f>
        <v>1000</v>
      </c>
      <c r="I46" s="36">
        <f>'(E1) Vlerësimi i burimeve'!AG51</f>
        <v>1000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3000</v>
      </c>
      <c r="F47" s="235">
        <f>'(E1) Vlerësimi i burimeve'!F52</f>
        <v>3000</v>
      </c>
      <c r="G47" s="36">
        <f>'(E1) Vlerësimi i burimeve'!O52</f>
        <v>3120</v>
      </c>
      <c r="H47" s="36">
        <f>'(E1) Vlerësimi i burimeve'!X52</f>
        <v>3120</v>
      </c>
      <c r="I47" s="36">
        <f>'(E1) Vlerësimi i burimeve'!AG52</f>
        <v>3120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0</v>
      </c>
      <c r="E48" s="235">
        <f>'(E1) Vlerësimi i burimeve'!E53</f>
        <v>0</v>
      </c>
      <c r="F48" s="235">
        <f>'(E1) Vlerësimi i burimeve'!F53</f>
        <v>500</v>
      </c>
      <c r="G48" s="36">
        <f>'(E1) Vlerësimi i burimeve'!O53</f>
        <v>540</v>
      </c>
      <c r="H48" s="36">
        <f>'(E1) Vlerësimi i burimeve'!X53</f>
        <v>540</v>
      </c>
      <c r="I48" s="36">
        <f>'(E1) Vlerësimi i burimeve'!AG53</f>
        <v>540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437</v>
      </c>
      <c r="E49" s="235">
        <f>'(E1) Vlerësimi i burimeve'!E54</f>
        <v>118</v>
      </c>
      <c r="F49" s="235">
        <f>'(E1) Vlerësimi i burimeve'!F54</f>
        <v>174</v>
      </c>
      <c r="G49" s="36">
        <f>'(E1) Vlerësimi i burimeve'!O54</f>
        <v>174</v>
      </c>
      <c r="H49" s="36">
        <f>'(E1) Vlerësimi i burimeve'!X54</f>
        <v>174</v>
      </c>
      <c r="I49" s="36">
        <f>'(E1) Vlerësimi i burimeve'!AG54</f>
        <v>174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525</v>
      </c>
      <c r="E50" s="235">
        <f>'(E1) Vlerësimi i burimeve'!E55</f>
        <v>125</v>
      </c>
      <c r="F50" s="235">
        <f>'(E1) Vlerësimi i burimeve'!F55</f>
        <v>400</v>
      </c>
      <c r="G50" s="36">
        <f>'(E1) Vlerësimi i burimeve'!O55</f>
        <v>412</v>
      </c>
      <c r="H50" s="36">
        <f>'(E1) Vlerësimi i burimeve'!X55</f>
        <v>412</v>
      </c>
      <c r="I50" s="36">
        <f>'(E1) Vlerësimi i burimeve'!AG55</f>
        <v>412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6822</v>
      </c>
      <c r="E54" s="248">
        <f>'(E1) Vlerësimi i burimeve'!E59</f>
        <v>5035</v>
      </c>
      <c r="F54" s="248">
        <f>'(E1) Vlerësimi i burimeve'!F59</f>
        <v>7000</v>
      </c>
      <c r="G54" s="248">
        <f>'(E1) Vlerësimi i burimeve'!O59</f>
        <v>7260</v>
      </c>
      <c r="H54" s="248">
        <f>'(E1) Vlerësimi i burimeve'!X59</f>
        <v>7260</v>
      </c>
      <c r="I54" s="522">
        <f>'(E1) Vlerësimi i burimeve'!AG59</f>
        <v>7260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132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4945</v>
      </c>
      <c r="E62" s="235">
        <f>'(E1) Vlerësimi i burimeve'!E67</f>
        <v>3546</v>
      </c>
      <c r="F62" s="235">
        <f>'(E1) Vlerësimi i burimeve'!F67</f>
        <v>5000</v>
      </c>
      <c r="G62" s="36">
        <f>'(E1) Vlerësimi i burimeve'!O67</f>
        <v>5100</v>
      </c>
      <c r="H62" s="36">
        <f>'(E1) Vlerësimi i burimeve'!X67</f>
        <v>5100</v>
      </c>
      <c r="I62" s="36">
        <f>'(E1) Vlerësimi i burimeve'!AG67</f>
        <v>5100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1745</v>
      </c>
      <c r="E63" s="235">
        <f>'(E1) Vlerësimi i burimeve'!E68</f>
        <v>1489</v>
      </c>
      <c r="F63" s="235">
        <f>'(E1) Vlerësimi i burimeve'!F68</f>
        <v>2000</v>
      </c>
      <c r="G63" s="36">
        <f>'(E1) Vlerësimi i burimeve'!O68</f>
        <v>2160</v>
      </c>
      <c r="H63" s="36">
        <f>'(E1) Vlerësimi i burimeve'!X68</f>
        <v>2160</v>
      </c>
      <c r="I63" s="36">
        <f>'(E1) Vlerësimi i burimeve'!AG68</f>
        <v>2160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29730</v>
      </c>
      <c r="E67" s="235">
        <f>'(E1) Vlerësimi i burimeve'!E72</f>
        <v>8978</v>
      </c>
      <c r="F67" s="235">
        <f>'(E1) Vlerësimi i burimeve'!F72</f>
        <v>41100</v>
      </c>
      <c r="G67" s="36">
        <f>'(E1) Vlerësimi i burimeve'!O72</f>
        <v>41922</v>
      </c>
      <c r="H67" s="36">
        <f>'(E1) Vlerësimi i burimeve'!X72</f>
        <v>41922</v>
      </c>
      <c r="I67" s="36">
        <f>'(E1) Vlerësimi i burimeve'!AG72</f>
        <v>41922</v>
      </c>
    </row>
    <row r="68" spans="1:9" ht="18.75" x14ac:dyDescent="0.25">
      <c r="A68" s="688" t="str">
        <f>'(C2) Burimet viti kaluar'!C70</f>
        <v>A.4</v>
      </c>
      <c r="B68" s="876" t="str">
        <f>'(E1) Vlerësimi i burimeve'!B76</f>
        <v>TË ARDHURAT E TJERA</v>
      </c>
      <c r="C68" s="877"/>
      <c r="D68" s="399">
        <f>'(E1) Vlerësimi i burimeve'!D76</f>
        <v>14277</v>
      </c>
      <c r="E68" s="399">
        <f>'(E1) Vlerësimi i burimeve'!E76</f>
        <v>30127</v>
      </c>
      <c r="F68" s="399">
        <f>'(E1) Vlerësimi i burimeve'!F76</f>
        <v>10200</v>
      </c>
      <c r="G68" s="399">
        <f>'(E1) Vlerësimi i burimeve'!O76</f>
        <v>0</v>
      </c>
      <c r="H68" s="399">
        <f>'(E1) Vlerësimi i burimeve'!X76</f>
        <v>0</v>
      </c>
      <c r="I68" s="399">
        <f>'(E1) Vlerësimi i burimeve'!AG76</f>
        <v>0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6712</v>
      </c>
      <c r="E69" s="235">
        <f>'(E1) Vlerësimi i burimeve'!E77</f>
        <v>10176</v>
      </c>
      <c r="F69" s="235">
        <f>'(E1) Vlerësimi i burimeve'!F77</f>
        <v>10200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0</v>
      </c>
      <c r="E75" s="235">
        <f>'(E1) Vlerësimi i burimeve'!E83</f>
        <v>0</v>
      </c>
      <c r="F75" s="235">
        <f>'(E1) Vlerësimi i burimeve'!F83</f>
        <v>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7565</v>
      </c>
      <c r="E82" s="235">
        <f>'(E1) Vlerësimi i burimeve'!E90</f>
        <v>19951</v>
      </c>
      <c r="F82" s="235">
        <f>'(E1) Vlerësimi i burimeve'!F90</f>
        <v>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89" t="str">
        <f>'(C2) Burimet viti kaluar'!C85</f>
        <v>B</v>
      </c>
      <c r="B83" s="911" t="str">
        <f>'(E1) Vlerësimi i burimeve'!B91</f>
        <v>TË ARDHURA NGA BUXHETI QENDROR</v>
      </c>
      <c r="C83" s="912"/>
      <c r="D83" s="398">
        <f>'(E1) Vlerësimi i burimeve'!D91</f>
        <v>1402088</v>
      </c>
      <c r="E83" s="398">
        <f>'(E1) Vlerësimi i burimeve'!E91</f>
        <v>1597746</v>
      </c>
      <c r="F83" s="398">
        <f>'(E1) Vlerësimi i burimeve'!F91</f>
        <v>1608678</v>
      </c>
      <c r="G83" s="398">
        <f>'(E1) Vlerësimi i burimeve'!O91</f>
        <v>1608978</v>
      </c>
      <c r="H83" s="398">
        <f>'(E1) Vlerësimi i burimeve'!X91</f>
        <v>1631564</v>
      </c>
      <c r="I83" s="398">
        <f>'(E1) Vlerësimi i burimeve'!AG91</f>
        <v>1660569</v>
      </c>
    </row>
    <row r="84" spans="1:9" ht="18.75" x14ac:dyDescent="0.25">
      <c r="A84" s="688" t="str">
        <f>'(C2) Burimet viti kaluar'!C86</f>
        <v>B.1</v>
      </c>
      <c r="B84" s="876" t="str">
        <f>'(E1) Vlerësimi i burimeve'!B92</f>
        <v>Transferta e pakushtëzuar</v>
      </c>
      <c r="C84" s="877"/>
      <c r="D84" s="399">
        <f>'(E1) Vlerësimi i burimeve'!D92</f>
        <v>399876</v>
      </c>
      <c r="E84" s="399">
        <f>'(E1) Vlerësimi i burimeve'!E92</f>
        <v>409240</v>
      </c>
      <c r="F84" s="399">
        <f>'(E1) Vlerësimi i burimeve'!F92</f>
        <v>416544</v>
      </c>
      <c r="G84" s="399">
        <f>'(E1) Vlerësimi i burimeve'!O92</f>
        <v>416544</v>
      </c>
      <c r="H84" s="399">
        <f>'(E1) Vlerësimi i burimeve'!X92</f>
        <v>438691</v>
      </c>
      <c r="I84" s="399">
        <f>'(E1) Vlerësimi i burimeve'!AG92</f>
        <v>467696</v>
      </c>
    </row>
    <row r="85" spans="1:9" ht="18.75" x14ac:dyDescent="0.25">
      <c r="A85" s="688" t="str">
        <f>'(C2) Burimet viti kaluar'!C87</f>
        <v>B.2</v>
      </c>
      <c r="B85" s="876" t="str">
        <f>'(E1) Vlerësimi i burimeve'!B93</f>
        <v>Transferta e kushtëzuar</v>
      </c>
      <c r="C85" s="877"/>
      <c r="D85" s="399">
        <f>'(E1) Vlerësimi i burimeve'!D93</f>
        <v>775176</v>
      </c>
      <c r="E85" s="399">
        <f>'(E1) Vlerësimi i burimeve'!E93</f>
        <v>957261</v>
      </c>
      <c r="F85" s="399">
        <f>'(E1) Vlerësimi i burimeve'!F93</f>
        <v>957261</v>
      </c>
      <c r="G85" s="399">
        <f>'(E1) Vlerësimi i burimeve'!O93</f>
        <v>957561</v>
      </c>
      <c r="H85" s="399">
        <f>'(E1) Vlerësimi i burimeve'!X93</f>
        <v>958000</v>
      </c>
      <c r="I85" s="399">
        <f>'(E1) Vlerësimi i burimeve'!AG93</f>
        <v>958000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775176</v>
      </c>
      <c r="E86" s="235">
        <f>'(E1) Vlerësimi i burimeve'!E94</f>
        <v>957261</v>
      </c>
      <c r="F86" s="235">
        <f>'(E1) Vlerësimi i burimeve'!F94</f>
        <v>957261</v>
      </c>
      <c r="G86" s="36">
        <f>'(E1) Vlerësimi i burimeve'!O94</f>
        <v>957561</v>
      </c>
      <c r="H86" s="36">
        <f>'(E1) Vlerësimi i burimeve'!X94</f>
        <v>958000</v>
      </c>
      <c r="I86" s="36">
        <f>'(E1) Vlerësimi i burimeve'!AG94</f>
        <v>958000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0</v>
      </c>
      <c r="E87" s="235">
        <f>'(E1) Vlerësimi i burimeve'!E95</f>
        <v>0</v>
      </c>
      <c r="F87" s="235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88" t="str">
        <f>'(C2) Burimet viti kaluar'!C90</f>
        <v>B.3</v>
      </c>
      <c r="B88" s="876" t="str">
        <f>'(E1) Vlerësimi i burimeve'!B96</f>
        <v>Trasferta specifike</v>
      </c>
      <c r="C88" s="877"/>
      <c r="D88" s="399">
        <f>'(E1) Vlerësimi i burimeve'!D96</f>
        <v>227036</v>
      </c>
      <c r="E88" s="399">
        <f>'(E1) Vlerësimi i burimeve'!E96</f>
        <v>231245</v>
      </c>
      <c r="F88" s="399">
        <f>'(E1) Vlerësimi i burimeve'!F96</f>
        <v>234873</v>
      </c>
      <c r="G88" s="399">
        <f>'(E1) Vlerësimi i burimeve'!O96</f>
        <v>234873</v>
      </c>
      <c r="H88" s="399">
        <f>'(E1) Vlerësimi i burimeve'!X96</f>
        <v>234873</v>
      </c>
      <c r="I88" s="399">
        <f>'(E1) Vlerësimi i burimeve'!AG96</f>
        <v>234873</v>
      </c>
    </row>
    <row r="89" spans="1:9" ht="18.75" x14ac:dyDescent="0.25">
      <c r="A89" s="689" t="str">
        <f>'(C2) Burimet viti kaluar'!C91</f>
        <v>C</v>
      </c>
      <c r="B89" s="911" t="str">
        <f>'(E1) Vlerësimi i burimeve'!B97</f>
        <v>HUAMARRJA</v>
      </c>
      <c r="C89" s="912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8" t="str">
        <f>'(C2) Burimet viti kaluar'!C92</f>
        <v>C.1</v>
      </c>
      <c r="B90" s="876" t="str">
        <f>'(E1) Vlerësimi i burimeve'!B98</f>
        <v>Huamarrja afatshkurtë</v>
      </c>
      <c r="C90" s="877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8" t="str">
        <f>'(C2) Burimet viti kaluar'!C93</f>
        <v>C.2</v>
      </c>
      <c r="B91" s="876" t="str">
        <f>'(E1) Vlerësimi i burimeve'!B99</f>
        <v>Huamarrja afatgjatë</v>
      </c>
      <c r="C91" s="877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89" t="str">
        <f>'(C2) Burimet viti kaluar'!C94</f>
        <v>D</v>
      </c>
      <c r="B92" s="911" t="str">
        <f>'(E1) Vlerësimi i burimeve'!B100</f>
        <v>TRASHËGIMI NGA VITI I SHKUAR</v>
      </c>
      <c r="C92" s="912"/>
      <c r="D92" s="398">
        <f>'(E1) Vlerësimi i burimeve'!D100</f>
        <v>0</v>
      </c>
      <c r="E92" s="398">
        <f>'(E1) Vlerësimi i burimeve'!E100</f>
        <v>0</v>
      </c>
      <c r="F92" s="398">
        <f>'(E1) Vlerësimi i burimeve'!F100</f>
        <v>0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8" t="str">
        <f>'(C2) Burimet viti kaluar'!C95</f>
        <v>D.1</v>
      </c>
      <c r="B93" s="876" t="str">
        <f>'(E1) Vlerësimi i burimeve'!B101</f>
        <v>Trashëgimi pa destinacion</v>
      </c>
      <c r="C93" s="877"/>
      <c r="D93" s="399">
        <f>'(E1) Vlerësimi i burimeve'!D101</f>
        <v>0</v>
      </c>
      <c r="E93" s="399">
        <f>'(E1) Vlerësimi i burimeve'!E101</f>
        <v>0</v>
      </c>
      <c r="F93" s="399">
        <f>'(E1) Vlerësimi i burimeve'!F101</f>
        <v>0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8" t="str">
        <f>'(C2) Burimet viti kaluar'!C96</f>
        <v>D.2</v>
      </c>
      <c r="B94" s="876" t="str">
        <f>'(E1) Vlerësimi i burimeve'!B102</f>
        <v>Trashëgimi me destinacion</v>
      </c>
      <c r="C94" s="877"/>
      <c r="D94" s="399">
        <f>'(E1) Vlerësimi i burimeve'!D102</f>
        <v>0</v>
      </c>
      <c r="E94" s="399">
        <f>'(E1) Vlerësimi i burimeve'!E102</f>
        <v>0</v>
      </c>
      <c r="F94" s="399">
        <f>'(E1) Vlerësimi i burimeve'!F102</f>
        <v>0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1521488</v>
      </c>
      <c r="E95" s="447">
        <f>'(E1) Vlerësimi i burimeve'!E103</f>
        <v>1715615</v>
      </c>
      <c r="F95" s="447">
        <f>'(E1) Vlerësimi i burimeve'!F103</f>
        <v>1759743</v>
      </c>
      <c r="G95" s="447">
        <f>'(E1) Vlerësimi i burimeve'!O103</f>
        <v>1760043.3900000001</v>
      </c>
      <c r="H95" s="447">
        <f>'(E1) Vlerësimi i burimeve'!X103</f>
        <v>1782629.3900000001</v>
      </c>
      <c r="I95" s="447">
        <f>'(E1) Vlerësimi i burimeve'!AG103</f>
        <v>1811634.3900000001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/pGPAy5FiYjvn5ogNh82CW2XUGtNN5eoZzwQF+6603EjHZXuMM41/GLh5j8HpA4TO1iOCNszHOanxZcd7Jm0vg==" saltValue="CxYAC8pHSwMcuCJs+hYEjw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opLeftCell="A58" zoomScale="82" zoomScaleNormal="82" workbookViewId="0">
      <selection activeCell="U28" sqref="U28"/>
    </sheetView>
  </sheetViews>
  <sheetFormatPr defaultColWidth="4.140625" defaultRowHeight="12.75" x14ac:dyDescent="0.2"/>
  <cols>
    <col min="1" max="1" width="14.7109375" style="43" bestFit="1" customWidth="1"/>
    <col min="2" max="2" width="57.140625" style="789" customWidth="1"/>
    <col min="3" max="3" width="12.5703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5703125" style="43" bestFit="1" customWidth="1" collapsed="1"/>
    <col min="11" max="11" width="12.140625" style="43" bestFit="1" customWidth="1"/>
    <col min="12" max="12" width="10.28515625" style="43" bestFit="1" customWidth="1"/>
    <col min="13" max="13" width="12.5703125" style="43" bestFit="1" customWidth="1"/>
    <col min="14" max="14" width="10.5703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41" t="str">
        <f>'(G1) Fjalori'!A421:A421</f>
        <v>(F2) SHPENZIMET SIPAS NËNFUNKSIONIT DHE PROGRAMIT - VLERA BRUTO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2"/>
      <c r="L1" s="1042"/>
      <c r="M1" s="1042"/>
      <c r="N1" s="1042"/>
      <c r="O1" s="1042"/>
      <c r="P1" s="1042"/>
      <c r="Q1" s="1043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4">
        <f>'(B1)Informacion i përgjithshëm '!B5</f>
        <v>2019</v>
      </c>
      <c r="D3" s="664">
        <f>'(B1)Informacion i përgjithshëm '!B6</f>
        <v>2020</v>
      </c>
      <c r="E3" s="664">
        <f>'(B1)Informacion i përgjithshëm '!B7</f>
        <v>2021</v>
      </c>
      <c r="F3" s="1044">
        <f>'(B1)Informacion i përgjithshëm '!B8</f>
        <v>2022</v>
      </c>
      <c r="G3" s="1044"/>
      <c r="H3" s="1044"/>
      <c r="I3" s="1044"/>
      <c r="J3" s="1044">
        <f>'(B1)Informacion i përgjithshëm '!B9</f>
        <v>2023</v>
      </c>
      <c r="K3" s="1044"/>
      <c r="L3" s="1044"/>
      <c r="M3" s="1044"/>
      <c r="N3" s="1044">
        <f>'(B1)Informacion i përgjithshëm '!B10</f>
        <v>2024</v>
      </c>
      <c r="O3" s="1044"/>
      <c r="P3" s="1044"/>
      <c r="Q3" s="1044"/>
    </row>
    <row r="4" spans="1:17" s="47" customFormat="1" ht="32.25" customHeight="1" x14ac:dyDescent="0.25">
      <c r="A4" s="46"/>
      <c r="B4" s="790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</row>
    <row r="5" spans="1:17" s="107" customFormat="1" ht="93.75" x14ac:dyDescent="0.25">
      <c r="A5" s="106"/>
      <c r="B5" s="790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29" t="str">
        <f>'(B2) Struktura Organizative'!B7</f>
        <v>011 Organet ekzekutive dhe legjislative, për çështjet financiare dhe fiskale, çështjet e brendshme</v>
      </c>
      <c r="C6" s="737">
        <f>'KB 01'!B$18</f>
        <v>179503</v>
      </c>
      <c r="D6" s="737">
        <f>'KB 01'!C$18</f>
        <v>179503</v>
      </c>
      <c r="E6" s="737">
        <f>'KB 01'!D$18</f>
        <v>179503</v>
      </c>
      <c r="F6" s="738">
        <f>SUM('KB 01'!E$22:E$23,'KB 01'!E$35:E$36)</f>
        <v>147533</v>
      </c>
      <c r="G6" s="738">
        <f>I6-H6-F6</f>
        <v>63640</v>
      </c>
      <c r="H6" s="738">
        <f>'KB 01'!E$29+'KB 01'!E$42</f>
        <v>4000</v>
      </c>
      <c r="I6" s="739">
        <f>'KB 01'!E$48</f>
        <v>215173</v>
      </c>
      <c r="J6" s="738">
        <f>SUM('KB 01'!F$22:F$23,'KB 01'!F$35:F$36)</f>
        <v>148533</v>
      </c>
      <c r="K6" s="738">
        <f>M6-L6-J6</f>
        <v>63640</v>
      </c>
      <c r="L6" s="738">
        <f>'KB 01'!F$29+'KB 01'!F$42</f>
        <v>4000</v>
      </c>
      <c r="M6" s="739">
        <f>'KB 01'!F$48</f>
        <v>216173</v>
      </c>
      <c r="N6" s="738">
        <f>SUM('KB 01'!G$22:G$23,'KB 01'!G$35:G$36)</f>
        <v>148533</v>
      </c>
      <c r="O6" s="738">
        <f>Q6-P6-N6</f>
        <v>63640</v>
      </c>
      <c r="P6" s="738">
        <f>'KB 01'!G$29+'KB 01'!G$42</f>
        <v>4000</v>
      </c>
      <c r="Q6" s="739">
        <f>'KB 01'!G$48</f>
        <v>216173</v>
      </c>
    </row>
    <row r="7" spans="1:17" s="104" customFormat="1" ht="15" customHeight="1" x14ac:dyDescent="0.2">
      <c r="A7" s="732" t="str">
        <f>'(B3) Struktura Funksionale'!B8</f>
        <v>01110</v>
      </c>
      <c r="B7" s="792" t="str">
        <f>'(B3) Struktura Funksionale'!C8</f>
        <v>Planifikimi Menaxhimi dhe Administrimi</v>
      </c>
      <c r="C7" s="675">
        <f>'KB 01'!B72</f>
        <v>169472</v>
      </c>
      <c r="D7" s="675">
        <f>'KB 01'!C72</f>
        <v>169472</v>
      </c>
      <c r="E7" s="675">
        <f>'KB 01'!D72</f>
        <v>169472</v>
      </c>
      <c r="F7" s="80">
        <f>SUM('KB 01'!E$76:E$77,'KB 01'!E$89:E$90)</f>
        <v>130313</v>
      </c>
      <c r="G7" s="80">
        <f>I7-H7-F7</f>
        <v>63590</v>
      </c>
      <c r="H7" s="80">
        <f>'KB 01'!E$83+'KB 01'!E$96</f>
        <v>4000</v>
      </c>
      <c r="I7" s="143">
        <f>'KB 01'!E$102</f>
        <v>197903</v>
      </c>
      <c r="J7" s="80">
        <f>SUM('KB 01'!F$76:F$77,'KB 01'!F$89:F$90)</f>
        <v>131313</v>
      </c>
      <c r="K7" s="80">
        <f>M7-L7-J7</f>
        <v>63590</v>
      </c>
      <c r="L7" s="80">
        <f>'KB 01'!F$83+'KB 01'!F$96</f>
        <v>4000</v>
      </c>
      <c r="M7" s="143">
        <f>'KB 01'!F$102</f>
        <v>198903</v>
      </c>
      <c r="N7" s="80">
        <f>SUM('KB 01'!G$76:G$77,'KB 01'!G$89:G$90)</f>
        <v>131313</v>
      </c>
      <c r="O7" s="80">
        <f>Q7-P7-N7</f>
        <v>63590</v>
      </c>
      <c r="P7" s="80">
        <f>'KB 01'!G$83+'KB 01'!G$96</f>
        <v>4000</v>
      </c>
      <c r="Q7" s="143">
        <f>'KB 01'!G$102</f>
        <v>198903</v>
      </c>
    </row>
    <row r="8" spans="1:17" s="104" customFormat="1" ht="15" customHeight="1" x14ac:dyDescent="0.2">
      <c r="A8" s="732" t="str">
        <f>'(B3) Struktura Funksionale'!B9</f>
        <v>01120</v>
      </c>
      <c r="B8" s="792" t="str">
        <f>'(B3) Struktura Funksionale'!C9</f>
        <v>Çështje financiare dhe fiskale</v>
      </c>
      <c r="C8" s="675">
        <f>'KB 01'!B111</f>
        <v>0</v>
      </c>
      <c r="D8" s="675">
        <f>'KB 01'!C111</f>
        <v>0</v>
      </c>
      <c r="E8" s="675">
        <f>'KB 01'!D111</f>
        <v>0</v>
      </c>
      <c r="F8" s="80">
        <f>SUM('KB 01'!E$115:E$116,'KB 01'!E$128:E$129)</f>
        <v>7220</v>
      </c>
      <c r="G8" s="80">
        <f>I8-H8-F8</f>
        <v>50</v>
      </c>
      <c r="H8" s="80">
        <f>'KB 01'!E$122+'KB 01'!E$135</f>
        <v>0</v>
      </c>
      <c r="I8" s="143">
        <f>'KB 01'!E$141</f>
        <v>7270</v>
      </c>
      <c r="J8" s="80">
        <f>SUM('KB 01'!F$115:F$116,'KB 01'!F$128:F$129)</f>
        <v>7220</v>
      </c>
      <c r="K8" s="80">
        <f>M8-L8-J8</f>
        <v>50</v>
      </c>
      <c r="L8" s="80">
        <f>'KB 01'!F$122+'KB 01'!F$135</f>
        <v>0</v>
      </c>
      <c r="M8" s="143">
        <f>'KB 01'!F$141</f>
        <v>7270</v>
      </c>
      <c r="N8" s="80">
        <f>SUM('KB 01'!G$115:G$116,'KB 01'!G$128:G$129)</f>
        <v>7220</v>
      </c>
      <c r="O8" s="80">
        <f>Q8-P8-N8</f>
        <v>50</v>
      </c>
      <c r="P8" s="80">
        <f>'KB 01'!G$122+'KB 01'!G$135</f>
        <v>0</v>
      </c>
      <c r="Q8" s="143">
        <f>'KB 01'!G$141</f>
        <v>7270</v>
      </c>
    </row>
    <row r="9" spans="1:17" s="104" customFormat="1" ht="15" customHeight="1" x14ac:dyDescent="0.2">
      <c r="A9" s="732" t="str">
        <f>'(B3) Struktura Funksionale'!B11</f>
        <v>01170</v>
      </c>
      <c r="B9" s="793" t="str">
        <f>'(B3) Struktura Funksionale'!C11</f>
        <v>Gjendja civile</v>
      </c>
      <c r="C9" s="676">
        <f>'KB 01'!B189</f>
        <v>10031</v>
      </c>
      <c r="D9" s="676">
        <f>'KB 01'!C189</f>
        <v>10031</v>
      </c>
      <c r="E9" s="676">
        <f>'KB 01'!D189</f>
        <v>10031</v>
      </c>
      <c r="F9" s="677">
        <f>SUM('KB 01'!E$193:E$194,'KB 01'!E$206:E$207)</f>
        <v>10000</v>
      </c>
      <c r="G9" s="677">
        <f>I9-H9-F9</f>
        <v>0</v>
      </c>
      <c r="H9" s="677">
        <f>'KB 01'!E$200+'KB 01'!E$213</f>
        <v>0</v>
      </c>
      <c r="I9" s="678">
        <f>'KB 01'!E$219</f>
        <v>10000</v>
      </c>
      <c r="J9" s="677">
        <f>SUM('KB 01'!F$193:F$194,'KB 01'!F$206:F$207)</f>
        <v>10000</v>
      </c>
      <c r="K9" s="677">
        <f>M9-L9-J9</f>
        <v>0</v>
      </c>
      <c r="L9" s="677">
        <f>'KB 01'!F$200+'KB 01'!F$213</f>
        <v>0</v>
      </c>
      <c r="M9" s="678">
        <f>'KB 01'!F$219</f>
        <v>10000</v>
      </c>
      <c r="N9" s="677">
        <f>SUM('KB 01'!G$193:G$194,'KB 01'!G$206:G$207)</f>
        <v>10000</v>
      </c>
      <c r="O9" s="677">
        <f>Q9-P9-N9</f>
        <v>0</v>
      </c>
      <c r="P9" s="80">
        <f>'KB 01'!G$200+'KB 01'!G$213</f>
        <v>0</v>
      </c>
      <c r="Q9" s="143">
        <f>'KB 01'!G$219</f>
        <v>10000</v>
      </c>
    </row>
    <row r="10" spans="1:17" ht="15" customHeight="1" x14ac:dyDescent="0.2">
      <c r="A10" s="730" t="str">
        <f>'(B2) Struktura Organizative'!A11</f>
        <v>Nënfunksioni 2</v>
      </c>
      <c r="B10" s="729" t="str">
        <f>'(B2) Struktura Organizative'!B11</f>
        <v>017 Shërbime të  huamarrjes vendore</v>
      </c>
      <c r="C10" s="737">
        <f>'KB 02'!B$18</f>
        <v>0</v>
      </c>
      <c r="D10" s="737">
        <f>'KB 02'!C$18</f>
        <v>0</v>
      </c>
      <c r="E10" s="737">
        <f>'KB 02'!D$18</f>
        <v>0</v>
      </c>
      <c r="F10" s="738">
        <f>SUM('KB 02'!E$22:E$23,'KB 02'!E$35:E$36)</f>
        <v>0</v>
      </c>
      <c r="G10" s="738">
        <f t="shared" ref="G10:G18" si="0">I10-H10-F10</f>
        <v>0</v>
      </c>
      <c r="H10" s="738">
        <f>'KB 02'!E$29+'KB 02'!E$42</f>
        <v>0</v>
      </c>
      <c r="I10" s="739">
        <f>'KB 02'!E$48</f>
        <v>0</v>
      </c>
      <c r="J10" s="738">
        <f>SUM('KB 02'!F$22:F$23,'KB 02'!F$35:F$36)</f>
        <v>0</v>
      </c>
      <c r="K10" s="738">
        <f t="shared" ref="K10:K18" si="1">M10-L10-J10</f>
        <v>0</v>
      </c>
      <c r="L10" s="738">
        <f>'KB 02'!F$29+'KB 02'!F$42</f>
        <v>0</v>
      </c>
      <c r="M10" s="739">
        <f>'KB 02'!F$48</f>
        <v>0</v>
      </c>
      <c r="N10" s="738">
        <f>SUM('KB 02'!G$22:G$23,'KB 02'!G$35:G$36)</f>
        <v>0</v>
      </c>
      <c r="O10" s="738">
        <f t="shared" ref="O10:O18" si="2">Q10-P10-N10</f>
        <v>0</v>
      </c>
      <c r="P10" s="738">
        <f>'KB 02'!G$29+'KB 02'!G$42</f>
        <v>0</v>
      </c>
      <c r="Q10" s="739">
        <f>'KB 02'!G$48</f>
        <v>0</v>
      </c>
    </row>
    <row r="11" spans="1:17" s="104" customFormat="1" ht="15" hidden="1" customHeight="1" x14ac:dyDescent="0.2">
      <c r="A11" s="732" t="str">
        <f>'(B3) Struktura Funksionale'!B15</f>
        <v>01310</v>
      </c>
      <c r="B11" s="792" t="str">
        <f>'(B3) Struktura Funksionale'!C15</f>
        <v>Planifikimi i përgjithshëm dhe Shërbimet Statistikore</v>
      </c>
      <c r="C11" s="675">
        <f>'KB 02'!B72</f>
        <v>0</v>
      </c>
      <c r="D11" s="675">
        <f>'KB 02'!C72</f>
        <v>0</v>
      </c>
      <c r="E11" s="675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2" t="str">
        <f>'(B3) Struktura Funksionale'!B17</f>
        <v>01320</v>
      </c>
      <c r="B12" s="792" t="str">
        <f>'(B3) Struktura Funksionale'!C17</f>
        <v>Shërbime të tjera të përgjithshme</v>
      </c>
      <c r="C12" s="675">
        <f>'KB 02'!B150</f>
        <v>0</v>
      </c>
      <c r="D12" s="675">
        <f>'KB 02'!C150</f>
        <v>0</v>
      </c>
      <c r="E12" s="675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2" t="str">
        <f>'(B3) Struktura Funksionale'!B18</f>
        <v>01710</v>
      </c>
      <c r="B13" s="792" t="str">
        <f>'(B3) Struktura Funksionale'!C18</f>
        <v>Pagesa për shërbimin e borxhit të brendshëm</v>
      </c>
      <c r="C13" s="675">
        <f>'KB 02'!B189</f>
        <v>0</v>
      </c>
      <c r="D13" s="675">
        <f>'KB 02'!C189</f>
        <v>0</v>
      </c>
      <c r="E13" s="675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0" t="str">
        <f>'(B2) Struktura Organizative'!A13</f>
        <v>Nënfunksioni 3</v>
      </c>
      <c r="B14" s="729" t="str">
        <f>'(B2) Struktura Organizative'!B13</f>
        <v>031 Shërbimet Policore</v>
      </c>
      <c r="C14" s="737">
        <f>'KB 03'!B$18</f>
        <v>0</v>
      </c>
      <c r="D14" s="737">
        <f>'KB 03'!C$18</f>
        <v>0</v>
      </c>
      <c r="E14" s="737">
        <f>'KB 03'!D$18</f>
        <v>0</v>
      </c>
      <c r="F14" s="738">
        <f>SUM('KB 03'!E$22:E$23,'KB 03'!E$35:E$36)</f>
        <v>7620</v>
      </c>
      <c r="G14" s="738">
        <f t="shared" si="0"/>
        <v>50</v>
      </c>
      <c r="H14" s="738">
        <f>'KB 03'!E$29+'KB 03'!E$42</f>
        <v>0</v>
      </c>
      <c r="I14" s="739">
        <f>'KB 03'!E$48</f>
        <v>7670</v>
      </c>
      <c r="J14" s="738">
        <f>SUM('KB 03'!I$22:I$23,'KB 03'!I$35:I$36)</f>
        <v>0</v>
      </c>
      <c r="K14" s="738">
        <f t="shared" si="1"/>
        <v>7670</v>
      </c>
      <c r="L14" s="738">
        <f>'KB 03'!F$29+'KB 03'!F$42</f>
        <v>0</v>
      </c>
      <c r="M14" s="739">
        <f>'KB 03'!F$48</f>
        <v>7670</v>
      </c>
      <c r="N14" s="738">
        <f>SUM('KB 03'!G$22:G$23,'KB 03'!G$35:G$36)</f>
        <v>7620</v>
      </c>
      <c r="O14" s="738">
        <f t="shared" si="2"/>
        <v>50</v>
      </c>
      <c r="P14" s="738">
        <f>'KB 03'!G$29+'KB 03'!G$42</f>
        <v>0</v>
      </c>
      <c r="Q14" s="739">
        <f>'KB 03'!G$48</f>
        <v>7670</v>
      </c>
    </row>
    <row r="15" spans="1:17" s="104" customFormat="1" ht="15" customHeight="1" x14ac:dyDescent="0.2">
      <c r="A15" s="732" t="str">
        <f>'(B3) Struktura Funksionale'!B22</f>
        <v>03140</v>
      </c>
      <c r="B15" s="792" t="str">
        <f>'(B3) Struktura Funksionale'!C22</f>
        <v>Shërbimet e Policisë Vendore</v>
      </c>
      <c r="C15" s="675">
        <f>'KB 03'!B72</f>
        <v>0</v>
      </c>
      <c r="D15" s="675">
        <f>'KB 03'!C72</f>
        <v>0</v>
      </c>
      <c r="E15" s="675">
        <f>'KB 03'!D72</f>
        <v>0</v>
      </c>
      <c r="F15" s="80">
        <f>SUM('KB 03'!E$76:E$77,'KB 03'!E$89:E$90)</f>
        <v>7620</v>
      </c>
      <c r="G15" s="80">
        <f t="shared" si="0"/>
        <v>50</v>
      </c>
      <c r="H15" s="80">
        <f>'KB 03'!E$83+'KB 03'!E$96</f>
        <v>0</v>
      </c>
      <c r="I15" s="143">
        <f>'KB 03'!E102</f>
        <v>7670</v>
      </c>
      <c r="J15" s="80">
        <f>SUM('KB 03'!I$76:I$77,'KB 03'!I$89:I$90)</f>
        <v>0</v>
      </c>
      <c r="K15" s="80">
        <f t="shared" si="1"/>
        <v>7670</v>
      </c>
      <c r="L15" s="80">
        <f>'KB 03'!F$83+'KB 03'!F$96</f>
        <v>0</v>
      </c>
      <c r="M15" s="143">
        <f>'KB 03'!F102</f>
        <v>7670</v>
      </c>
      <c r="N15" s="80">
        <f>SUM('KB 03'!G$76:G$77,'KB 03'!G$89:G$90)</f>
        <v>7620</v>
      </c>
      <c r="O15" s="80">
        <f t="shared" si="2"/>
        <v>50</v>
      </c>
      <c r="P15" s="80">
        <f>'KB 03'!G$83+'KB 03'!G$96</f>
        <v>0</v>
      </c>
      <c r="Q15" s="143">
        <f>'KB 03'!G102</f>
        <v>7670</v>
      </c>
    </row>
    <row r="16" spans="1:17" ht="15" customHeight="1" x14ac:dyDescent="0.2">
      <c r="A16" s="730" t="str">
        <f>'(B2) Struktura Organizative'!A15</f>
        <v>Nënfunksioni 4</v>
      </c>
      <c r="B16" s="729" t="str">
        <f>'(B2) Struktura Organizative'!B15</f>
        <v>032 Shërbimet e mbrojtjes ndaj zjarrit</v>
      </c>
      <c r="C16" s="737">
        <f>'KB 04'!B$18</f>
        <v>21298</v>
      </c>
      <c r="D16" s="737">
        <f>'KB 04'!C$18</f>
        <v>21298</v>
      </c>
      <c r="E16" s="737">
        <f>'KB 04'!D$18</f>
        <v>21298</v>
      </c>
      <c r="F16" s="738">
        <f>SUM('KB 04'!E$22:E$23,'KB 04'!E$35:E$36)</f>
        <v>20834</v>
      </c>
      <c r="G16" s="738">
        <f t="shared" si="0"/>
        <v>10596</v>
      </c>
      <c r="H16" s="738">
        <f>'KB 04'!E$29+'KB 04'!E$42</f>
        <v>0</v>
      </c>
      <c r="I16" s="739">
        <f>'KB 04'!E$48</f>
        <v>31430</v>
      </c>
      <c r="J16" s="738">
        <f>SUM('KB 04'!F$22:F$23,'KB 04'!F$35:F$36)</f>
        <v>20834</v>
      </c>
      <c r="K16" s="738">
        <f t="shared" si="1"/>
        <v>10596</v>
      </c>
      <c r="L16" s="738">
        <f>'KB 04'!F$29+'KB 04'!F$42</f>
        <v>0</v>
      </c>
      <c r="M16" s="739">
        <f>'KB 04'!F$48</f>
        <v>31430</v>
      </c>
      <c r="N16" s="738">
        <f>SUM('KB 04'!G$22:G$23,'KB 04'!G$35:G$36)</f>
        <v>20834</v>
      </c>
      <c r="O16" s="738">
        <f t="shared" si="2"/>
        <v>10596</v>
      </c>
      <c r="P16" s="738">
        <f>'KB 04'!G$29+'KB 04'!G$42</f>
        <v>0</v>
      </c>
      <c r="Q16" s="739">
        <f>'KB 04'!G$48</f>
        <v>31430</v>
      </c>
    </row>
    <row r="17" spans="1:17" s="104" customFormat="1" ht="15" customHeight="1" x14ac:dyDescent="0.2">
      <c r="A17" s="732" t="str">
        <f>'(B3) Struktura Funksionale'!B26</f>
        <v>03280</v>
      </c>
      <c r="B17" s="792" t="str">
        <f>'(B3) Struktura Funksionale'!C26</f>
        <v>Mbrotja nga zjarri dhe mbrojtja civile</v>
      </c>
      <c r="C17" s="675">
        <f>'KB 04'!B72</f>
        <v>21298</v>
      </c>
      <c r="D17" s="675">
        <f>'KB 04'!C72</f>
        <v>21298</v>
      </c>
      <c r="E17" s="675">
        <f>'KB 04'!D72</f>
        <v>21298</v>
      </c>
      <c r="F17" s="80">
        <f>SUM('KB 04'!E$76:E$77,'KB 04'!E$89:E$90)</f>
        <v>20834</v>
      </c>
      <c r="G17" s="80">
        <f t="shared" si="0"/>
        <v>10596</v>
      </c>
      <c r="H17" s="80">
        <f>'KB 04'!E$83+'KB 04'!E$96</f>
        <v>0</v>
      </c>
      <c r="I17" s="143">
        <f>'KB 04'!E102</f>
        <v>31430</v>
      </c>
      <c r="J17" s="80">
        <f>SUM('KB 04'!F$76:F$77,'KB 04'!F$89:F$90)</f>
        <v>20834</v>
      </c>
      <c r="K17" s="80">
        <f t="shared" si="1"/>
        <v>10596</v>
      </c>
      <c r="L17" s="80">
        <f>'KB 04'!F$83+'KB 04'!F$96</f>
        <v>0</v>
      </c>
      <c r="M17" s="143">
        <f>'KB 04'!F102</f>
        <v>31430</v>
      </c>
      <c r="N17" s="80">
        <f>SUM('KB 04'!G$76:G$77,'KB 04'!G$89:G$90)</f>
        <v>20834</v>
      </c>
      <c r="O17" s="80">
        <f t="shared" si="2"/>
        <v>10596</v>
      </c>
      <c r="P17" s="80">
        <f>'KB 04'!G$83+'KB 04'!G$96</f>
        <v>0</v>
      </c>
      <c r="Q17" s="143">
        <f>'KB 04'!G102</f>
        <v>31430</v>
      </c>
    </row>
    <row r="18" spans="1:17" ht="15" customHeight="1" x14ac:dyDescent="0.2">
      <c r="A18" s="730" t="str">
        <f>'(B2) Struktura Organizative'!A17</f>
        <v>Nënfunksioni 5</v>
      </c>
      <c r="B18" s="729" t="str">
        <f>'(B2) Struktura Organizative'!B17</f>
        <v>036 Marrdheniet me komunitetin</v>
      </c>
      <c r="C18" s="737">
        <f>'KB 05'!B$18</f>
        <v>0</v>
      </c>
      <c r="D18" s="737">
        <f>'KB 05'!C$18</f>
        <v>0</v>
      </c>
      <c r="E18" s="737">
        <f>'KB 05'!D$18</f>
        <v>0</v>
      </c>
      <c r="F18" s="738">
        <f>SUM('KB 05'!E$22:E$23,'KB 05'!E$35:E$36)</f>
        <v>0</v>
      </c>
      <c r="G18" s="738">
        <f t="shared" si="0"/>
        <v>0</v>
      </c>
      <c r="H18" s="738">
        <f>'KB 05'!E$29+'KB 05'!E$42</f>
        <v>0</v>
      </c>
      <c r="I18" s="739">
        <f>'KB 05'!E$48</f>
        <v>0</v>
      </c>
      <c r="J18" s="738">
        <f>SUM('KB 05'!F$22:F$23,'KB 05'!F$35:F$36)</f>
        <v>0</v>
      </c>
      <c r="K18" s="738">
        <f t="shared" si="1"/>
        <v>0</v>
      </c>
      <c r="L18" s="738">
        <f>'KB 05'!F$29+'KB 05'!F$42</f>
        <v>0</v>
      </c>
      <c r="M18" s="739">
        <f>'KB 05'!F$48</f>
        <v>0</v>
      </c>
      <c r="N18" s="738">
        <f>SUM('KB 05'!G$22:G$23,'KB 05'!G$35:G$36)</f>
        <v>0</v>
      </c>
      <c r="O18" s="738">
        <f t="shared" si="2"/>
        <v>0</v>
      </c>
      <c r="P18" s="738">
        <f>'KB 05'!G$29+'KB 05'!G$42</f>
        <v>0</v>
      </c>
      <c r="Q18" s="739">
        <f>'KB 05'!G$48</f>
        <v>0</v>
      </c>
    </row>
    <row r="19" spans="1:17" s="104" customFormat="1" ht="15" customHeight="1" x14ac:dyDescent="0.2">
      <c r="A19" s="732" t="str">
        <f>'(B3) Struktura Funksionale'!B30</f>
        <v>03600</v>
      </c>
      <c r="B19" s="792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0" t="str">
        <f>'(B2) Struktura Organizative'!A19</f>
        <v>Nënfunksioni 6</v>
      </c>
      <c r="B20" s="729" t="str">
        <f>'(B2) Struktura Organizative'!B19</f>
        <v>041 Çështjet e përgjithshme ekonomike, tregtare dhe të punës</v>
      </c>
      <c r="C20" s="737">
        <f>'KB 06'!B$18</f>
        <v>0</v>
      </c>
      <c r="D20" s="737">
        <f>'KB 06'!C$18</f>
        <v>0</v>
      </c>
      <c r="E20" s="737">
        <f>'KB 06'!D$18</f>
        <v>0</v>
      </c>
      <c r="F20" s="738">
        <f>SUM('KB 06'!E$22:E$23,'KB 06'!E$35:E$36)</f>
        <v>1551</v>
      </c>
      <c r="G20" s="738">
        <f t="shared" ref="G20:G81" si="4">I20-H20-F20</f>
        <v>80</v>
      </c>
      <c r="H20" s="738">
        <f>'KB 06'!E$29+'KB 06'!E$42</f>
        <v>0</v>
      </c>
      <c r="I20" s="739">
        <f>'KB 06'!E$48</f>
        <v>1631</v>
      </c>
      <c r="J20" s="738">
        <f>SUM('KB 06'!F$22:F$23,'KB 06'!F$35:F$36)</f>
        <v>1551</v>
      </c>
      <c r="K20" s="738">
        <f t="shared" ref="K20:K81" si="5">M20-L20-J20</f>
        <v>80</v>
      </c>
      <c r="L20" s="738">
        <f>'KB 06'!F$29+'KB 06'!F$42</f>
        <v>0</v>
      </c>
      <c r="M20" s="739">
        <f>'KB 06'!F$48</f>
        <v>1631</v>
      </c>
      <c r="N20" s="738">
        <f>SUM('KB 06'!G$22:G$23,'KB 06'!G$35:G$36)</f>
        <v>1551</v>
      </c>
      <c r="O20" s="738">
        <f t="shared" ref="O20:O81" si="6">Q20-P20-N20</f>
        <v>80</v>
      </c>
      <c r="P20" s="738">
        <f>'KB 06'!G$29+'KB 06'!G$42</f>
        <v>0</v>
      </c>
      <c r="Q20" s="739">
        <f>'KB 06'!G$48</f>
        <v>1631</v>
      </c>
    </row>
    <row r="21" spans="1:17" s="104" customFormat="1" ht="15" hidden="1" customHeight="1" x14ac:dyDescent="0.2">
      <c r="A21" s="732" t="str">
        <f>'(B3) Struktura Funksionale'!B35</f>
        <v>04110</v>
      </c>
      <c r="B21" s="792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2" t="str">
        <f>'(B3) Struktura Funksionale'!B36</f>
        <v>04130</v>
      </c>
      <c r="B22" s="792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1551</v>
      </c>
      <c r="G22" s="80">
        <f t="shared" si="4"/>
        <v>80</v>
      </c>
      <c r="H22" s="80">
        <f>'KB 06'!E$122+'KB 06'!E$135</f>
        <v>0</v>
      </c>
      <c r="I22" s="143">
        <f>'KB 06'!E141</f>
        <v>1631</v>
      </c>
      <c r="J22" s="80">
        <f>SUM('KB 06'!F$115:F$116,'KB 06'!F$128:F$129)</f>
        <v>1551</v>
      </c>
      <c r="K22" s="80">
        <f t="shared" si="5"/>
        <v>80</v>
      </c>
      <c r="L22" s="80">
        <f>'KB 06'!F$122+'KB 06'!F$135</f>
        <v>0</v>
      </c>
      <c r="M22" s="143">
        <f>'KB 06'!F141</f>
        <v>1631</v>
      </c>
      <c r="N22" s="80">
        <f>SUM('KB 06'!G$115:G$116,'KB 06'!G$128:G$129)</f>
        <v>1551</v>
      </c>
      <c r="O22" s="80">
        <f t="shared" si="6"/>
        <v>80</v>
      </c>
      <c r="P22" s="80">
        <f>'KB 06'!G$122+'KB 06'!G$135</f>
        <v>0</v>
      </c>
      <c r="Q22" s="143">
        <f>'KB 06'!G141</f>
        <v>1631</v>
      </c>
    </row>
    <row r="23" spans="1:17" s="104" customFormat="1" ht="15" hidden="1" customHeight="1" x14ac:dyDescent="0.2">
      <c r="A23" s="732" t="str">
        <f>'(B3) Struktura Funksionale'!B38</f>
        <v>04132</v>
      </c>
      <c r="B23" s="792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2" t="str">
        <f>'(B3) Struktura Funksionale'!B39</f>
        <v>04160</v>
      </c>
      <c r="B24" s="792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0" t="str">
        <f>'(B2) Struktura Organizative'!A22</f>
        <v>Nënfunksioni 7</v>
      </c>
      <c r="B25" s="729" t="str">
        <f>'(B2) Struktura Organizative'!B22</f>
        <v>042 Bujqësia, pyjet, peshkimi dhe gjuetia</v>
      </c>
      <c r="C25" s="737">
        <f>'KB 07'!B$18</f>
        <v>22382</v>
      </c>
      <c r="D25" s="737">
        <f>'KB 07'!C$18</f>
        <v>22382</v>
      </c>
      <c r="E25" s="737">
        <f>'KB 07'!D$18</f>
        <v>22382</v>
      </c>
      <c r="F25" s="738">
        <f>SUM('KB 07'!E$22:E$23,'KB 07'!E$35:E$36)</f>
        <v>3100</v>
      </c>
      <c r="G25" s="738">
        <f t="shared" si="4"/>
        <v>170</v>
      </c>
      <c r="H25" s="738">
        <f>'KB 07'!E$29+'KB 07'!E$42</f>
        <v>14132</v>
      </c>
      <c r="I25" s="739">
        <f>'KB 07'!E$48</f>
        <v>17402</v>
      </c>
      <c r="J25" s="738">
        <f>SUM('KB 07'!F$22:F$23,'KB 07'!F$35:F$36)</f>
        <v>3600</v>
      </c>
      <c r="K25" s="738">
        <f t="shared" si="5"/>
        <v>170</v>
      </c>
      <c r="L25" s="738">
        <f>'KB 07'!F$29+'KB 07'!F$42</f>
        <v>16632</v>
      </c>
      <c r="M25" s="739">
        <f>'KB 07'!F$48</f>
        <v>20402</v>
      </c>
      <c r="N25" s="738">
        <f>SUM('KB 07'!G$22:G$23,'KB 07'!G$35:G$36)</f>
        <v>3100</v>
      </c>
      <c r="O25" s="738">
        <f t="shared" si="6"/>
        <v>170</v>
      </c>
      <c r="P25" s="738">
        <f>'KB 07'!G$29+'KB 07'!G$42</f>
        <v>14132</v>
      </c>
      <c r="Q25" s="739">
        <f>'KB 07'!G$48</f>
        <v>17402</v>
      </c>
    </row>
    <row r="26" spans="1:17" s="104" customFormat="1" ht="15" customHeight="1" x14ac:dyDescent="0.2">
      <c r="A26" s="732" t="str">
        <f>'(B3) Struktura Funksionale'!B42</f>
        <v>04220</v>
      </c>
      <c r="B26" s="792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0</v>
      </c>
      <c r="F26" s="80">
        <f>SUM('KB 07'!E$76:E$77,'KB 07'!E$89:E$90)</f>
        <v>0</v>
      </c>
      <c r="G26" s="80">
        <f t="shared" si="4"/>
        <v>0</v>
      </c>
      <c r="H26" s="80">
        <f>'KB 07'!E$83+'KB 07'!E$96</f>
        <v>0</v>
      </c>
      <c r="I26" s="143">
        <f>'KB 07'!E$102</f>
        <v>0</v>
      </c>
      <c r="J26" s="80">
        <f>SUM('KB 07'!F$76:F$77,'KB 07'!F$89:F$90)</f>
        <v>0</v>
      </c>
      <c r="K26" s="80">
        <f t="shared" si="5"/>
        <v>0</v>
      </c>
      <c r="L26" s="738">
        <f>'KB 07'!F$83+'KB 07'!F$96</f>
        <v>0</v>
      </c>
      <c r="M26" s="143">
        <f>'KB 07'!F$102</f>
        <v>0</v>
      </c>
      <c r="N26" s="80">
        <f>SUM('KB 07'!G$76:G$77,'KB 07'!G$89:G$90)</f>
        <v>0</v>
      </c>
      <c r="O26" s="80">
        <f t="shared" si="6"/>
        <v>0</v>
      </c>
      <c r="P26" s="738">
        <f>'KB 07'!G$83+'KB 07'!G$96</f>
        <v>0</v>
      </c>
      <c r="Q26" s="143">
        <f>'KB 07'!G$102</f>
        <v>0</v>
      </c>
    </row>
    <row r="27" spans="1:17" s="104" customFormat="1" ht="15" hidden="1" customHeight="1" x14ac:dyDescent="0.2">
      <c r="A27" s="732" t="str">
        <f>'(B3) Struktura Funksionale'!B44</f>
        <v>04223</v>
      </c>
      <c r="B27" s="792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2" t="str">
        <f>'(B3) Struktura Funksionale'!B45</f>
        <v>04240</v>
      </c>
      <c r="B28" s="792" t="str">
        <f>'(B3) Struktura Funksionale'!C45</f>
        <v>Menaxhimi i Infrastruktuës së ujitjes dhe kullimit</v>
      </c>
      <c r="C28" s="147">
        <f>'KB 07'!B189</f>
        <v>15529</v>
      </c>
      <c r="D28" s="147">
        <f>'KB 07'!C189</f>
        <v>15529</v>
      </c>
      <c r="E28" s="147">
        <f>'KB 07'!D189</f>
        <v>15529</v>
      </c>
      <c r="F28" s="80">
        <f>SUM('KB 07'!E$193:E$194,'KB 07'!E$206:E$207)</f>
        <v>3100</v>
      </c>
      <c r="G28" s="80">
        <f t="shared" si="4"/>
        <v>170</v>
      </c>
      <c r="H28" s="80">
        <f>'KB 07'!E$200+'KB 07'!E$213</f>
        <v>14132</v>
      </c>
      <c r="I28" s="143">
        <f>'KB 07'!E$219</f>
        <v>17402</v>
      </c>
      <c r="J28" s="80">
        <f>SUM('KB 07'!F$193:F$194,'KB 07'!F$206:F$207)</f>
        <v>3600</v>
      </c>
      <c r="K28" s="80">
        <f t="shared" si="5"/>
        <v>170</v>
      </c>
      <c r="L28" s="80">
        <f>'KB 07'!F$200+'KB 07'!F$213</f>
        <v>16632</v>
      </c>
      <c r="M28" s="143">
        <f>'KB 07'!F$219</f>
        <v>20402</v>
      </c>
      <c r="N28" s="80">
        <f>SUM('KB 07'!G$193:G$194,'KB 07'!G$206:G$207)</f>
        <v>3100</v>
      </c>
      <c r="O28" s="80">
        <f t="shared" si="6"/>
        <v>170</v>
      </c>
      <c r="P28" s="80">
        <f>'KB 07'!G$200+'KB 07'!G$213</f>
        <v>14132</v>
      </c>
      <c r="Q28" s="143">
        <f>'KB 07'!G$219</f>
        <v>17402</v>
      </c>
    </row>
    <row r="29" spans="1:17" s="104" customFormat="1" ht="15" customHeight="1" x14ac:dyDescent="0.2">
      <c r="A29" s="732" t="str">
        <f>'(B3) Struktura Funksionale'!B46</f>
        <v>04260</v>
      </c>
      <c r="B29" s="792" t="str">
        <f>'(B3) Struktura Funksionale'!C46</f>
        <v>Administrimi i pyjeve dhe kullotave</v>
      </c>
      <c r="C29" s="147">
        <f>'KB 07'!B228</f>
        <v>6853</v>
      </c>
      <c r="D29" s="147">
        <f>'KB 07'!C228</f>
        <v>6853</v>
      </c>
      <c r="E29" s="147">
        <f>'KB 07'!D228</f>
        <v>6853</v>
      </c>
      <c r="F29" s="80">
        <f>SUM('KB 07'!E$232:E$233,'KB 07'!E$245:E$246)</f>
        <v>0</v>
      </c>
      <c r="G29" s="80">
        <f t="shared" si="4"/>
        <v>0</v>
      </c>
      <c r="H29" s="80">
        <f>'KB 07'!E$239+'KB 07'!E$252</f>
        <v>0</v>
      </c>
      <c r="I29" s="143">
        <f>'KB 07'!E$258</f>
        <v>0</v>
      </c>
      <c r="J29" s="80">
        <f>SUM('KB 07'!F$232:F$233,'KB 07'!F$245:F$246)</f>
        <v>0</v>
      </c>
      <c r="K29" s="80">
        <f t="shared" si="5"/>
        <v>0</v>
      </c>
      <c r="L29" s="80">
        <f>'KB 07'!F$239+'KB 07'!F$252</f>
        <v>0</v>
      </c>
      <c r="M29" s="143">
        <f>'KB 07'!F$258</f>
        <v>0</v>
      </c>
      <c r="N29" s="80">
        <f>SUM('KB 07'!G$232:G$233,'KB 07'!G$245:G$246)</f>
        <v>0</v>
      </c>
      <c r="O29" s="80">
        <f t="shared" si="6"/>
        <v>0</v>
      </c>
      <c r="P29" s="80">
        <f>'KB 07'!G$239+'KB 07'!G$252</f>
        <v>0</v>
      </c>
      <c r="Q29" s="143">
        <f>'KB 07'!G$258</f>
        <v>0</v>
      </c>
    </row>
    <row r="30" spans="1:17" ht="15" customHeight="1" x14ac:dyDescent="0.2">
      <c r="A30" s="730" t="str">
        <f>'(B2) Struktura Organizative'!A26</f>
        <v>Nënfunksioni 8</v>
      </c>
      <c r="B30" s="729" t="str">
        <f>'(B2) Struktura Organizative'!B26</f>
        <v>045 Trasporti</v>
      </c>
      <c r="C30" s="737">
        <f>'KB 08'!B$18</f>
        <v>31582</v>
      </c>
      <c r="D30" s="737">
        <f>'KB 08'!C$18</f>
        <v>31582</v>
      </c>
      <c r="E30" s="737">
        <f>'KB 08'!D$18</f>
        <v>31582</v>
      </c>
      <c r="F30" s="738">
        <f>SUM('KB 08'!E$22:E$23,'KB 08'!E$35:E$36)</f>
        <v>0</v>
      </c>
      <c r="G30" s="738">
        <f t="shared" si="4"/>
        <v>0</v>
      </c>
      <c r="H30" s="738">
        <f>'KB 08'!E$29+'KB 08'!E$42</f>
        <v>88487</v>
      </c>
      <c r="I30" s="739">
        <f>'KB 08'!E$48</f>
        <v>88487</v>
      </c>
      <c r="J30" s="738">
        <f>SUM('KB 08'!F$22:F$23,'KB 08'!F$35:F$36)</f>
        <v>0</v>
      </c>
      <c r="K30" s="738">
        <f t="shared" si="5"/>
        <v>0</v>
      </c>
      <c r="L30" s="738">
        <f>'KB 08'!F$29+'KB 08'!F$42</f>
        <v>98487</v>
      </c>
      <c r="M30" s="739">
        <f>'KB 08'!F$48</f>
        <v>98487</v>
      </c>
      <c r="N30" s="738">
        <f>SUM('KB 08'!G$22:G$23,'KB 08'!G$35:G$36)</f>
        <v>0</v>
      </c>
      <c r="O30" s="738">
        <f t="shared" si="6"/>
        <v>0</v>
      </c>
      <c r="P30" s="738">
        <f>'KB 08'!G$29+'KB 08'!G$42</f>
        <v>128486</v>
      </c>
      <c r="Q30" s="739">
        <f>'KB 08'!G$48</f>
        <v>128486</v>
      </c>
    </row>
    <row r="31" spans="1:17" s="104" customFormat="1" ht="15" customHeight="1" x14ac:dyDescent="0.2">
      <c r="A31" s="732" t="str">
        <f>'(B3) Struktura Funksionale'!B49</f>
        <v>04520</v>
      </c>
      <c r="B31" s="792" t="str">
        <f>'(B3) Struktura Funksionale'!C49</f>
        <v>Rrjeti rrugor rural</v>
      </c>
      <c r="C31" s="147">
        <f>'KB 08'!B72</f>
        <v>31582</v>
      </c>
      <c r="D31" s="147">
        <f>'KB 08'!C72</f>
        <v>31582</v>
      </c>
      <c r="E31" s="147">
        <f>'KB 08'!D72</f>
        <v>31582</v>
      </c>
      <c r="F31" s="80">
        <f>SUM('KB 08'!E$76:E$77,'KB 08'!E$89:E$90)</f>
        <v>0</v>
      </c>
      <c r="G31" s="80">
        <f t="shared" si="4"/>
        <v>0</v>
      </c>
      <c r="H31" s="80">
        <f>'KB 08'!E$83+'KB 08'!E$96</f>
        <v>88487</v>
      </c>
      <c r="I31" s="143">
        <f>'KB 08'!E$102</f>
        <v>88487</v>
      </c>
      <c r="J31" s="80">
        <f>SUM('KB 08'!F$76:F$77,'KB 08'!F$89:F$90)</f>
        <v>0</v>
      </c>
      <c r="K31" s="80">
        <f t="shared" si="5"/>
        <v>0</v>
      </c>
      <c r="L31" s="80">
        <f>'KB 08'!F$83+'KB 08'!F$96</f>
        <v>98487</v>
      </c>
      <c r="M31" s="143">
        <f>'KB 08'!F$102</f>
        <v>98487</v>
      </c>
      <c r="N31" s="80">
        <f>SUM('KB 08'!G$76:G$77,'KB 08'!G$89:G$90)</f>
        <v>0</v>
      </c>
      <c r="O31" s="80">
        <f t="shared" si="6"/>
        <v>0</v>
      </c>
      <c r="P31" s="80">
        <f>'KB 08'!G$83+'KB 08'!G$96</f>
        <v>128486</v>
      </c>
      <c r="Q31" s="143">
        <f>'KB 08'!G$102</f>
        <v>128486</v>
      </c>
    </row>
    <row r="32" spans="1:17" s="104" customFormat="1" ht="15" hidden="1" customHeight="1" x14ac:dyDescent="0.2">
      <c r="A32" s="732" t="str">
        <f>'(B3) Struktura Funksionale'!B50</f>
        <v>04530</v>
      </c>
      <c r="B32" s="792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2" t="str">
        <f>'(B3) Struktura Funksionale'!B51</f>
        <v>04570</v>
      </c>
      <c r="B33" s="792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0" t="str">
        <f>'(B2) Struktura Organizative'!A29</f>
        <v>Nënfunksioni 9</v>
      </c>
      <c r="B34" s="729" t="str">
        <f>'(B2) Struktura Organizative'!B29</f>
        <v>047 Industri të tjera</v>
      </c>
      <c r="C34" s="737">
        <f>'KB 09'!B$18</f>
        <v>0</v>
      </c>
      <c r="D34" s="737">
        <f>'KB 09'!C$18</f>
        <v>0</v>
      </c>
      <c r="E34" s="737">
        <f>'KB 09'!D$18</f>
        <v>0</v>
      </c>
      <c r="F34" s="738">
        <f>SUM('KB 09'!E$22:E$23,'KB 09'!E$35:E$36)</f>
        <v>0</v>
      </c>
      <c r="G34" s="738">
        <f t="shared" si="4"/>
        <v>0</v>
      </c>
      <c r="H34" s="738">
        <f>'KB 09'!E$29+'KB 09'!E$42</f>
        <v>0</v>
      </c>
      <c r="I34" s="739">
        <f>'KB 09'!E$48</f>
        <v>0</v>
      </c>
      <c r="J34" s="738">
        <f>SUM('KB 09'!F$22:F$23,'KB 09'!F$35:F$36)</f>
        <v>0</v>
      </c>
      <c r="K34" s="738">
        <f t="shared" si="5"/>
        <v>0</v>
      </c>
      <c r="L34" s="738">
        <f>'KB 09'!F$29+'KB 09'!F$42</f>
        <v>0</v>
      </c>
      <c r="M34" s="739">
        <f>'KB 09'!F$48</f>
        <v>0</v>
      </c>
      <c r="N34" s="738">
        <f>SUM('KB 09'!G$22:G$23,'KB 09'!G$35:G$36)</f>
        <v>0</v>
      </c>
      <c r="O34" s="738">
        <f t="shared" si="6"/>
        <v>0</v>
      </c>
      <c r="P34" s="738">
        <f>'KB 09'!G$29+'KB 09'!G$42</f>
        <v>0</v>
      </c>
      <c r="Q34" s="739">
        <f>'KB 09'!G$48</f>
        <v>0</v>
      </c>
    </row>
    <row r="35" spans="1:17" s="104" customFormat="1" ht="15" customHeight="1" x14ac:dyDescent="0.2">
      <c r="A35" s="732" t="str">
        <f>'(B3) Struktura Funksionale'!B54</f>
        <v>04740</v>
      </c>
      <c r="B35" s="792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2" t="str">
        <f>'(B3) Struktura Funksionale'!B55</f>
        <v>04760</v>
      </c>
      <c r="B36" s="792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0" t="str">
        <f>'(B2) Struktura Organizative'!A32</f>
        <v>Nënfunksioni 10</v>
      </c>
      <c r="B37" s="729" t="str">
        <f>'(B2) Struktura Organizative'!B32</f>
        <v>051 Menaxhimi i i mbetjeve</v>
      </c>
      <c r="C37" s="737">
        <f>'KB 10'!B$18</f>
        <v>0</v>
      </c>
      <c r="D37" s="737">
        <f>'KB 10'!C$18</f>
        <v>0</v>
      </c>
      <c r="E37" s="737">
        <f>'KB 10'!D$18</f>
        <v>0</v>
      </c>
      <c r="F37" s="738">
        <f>SUM('KB 10'!E$22:E$23,'KB 10'!E$35:E$36)</f>
        <v>22600</v>
      </c>
      <c r="G37" s="738">
        <f t="shared" si="4"/>
        <v>1010</v>
      </c>
      <c r="H37" s="738">
        <f>'KB 10'!E$29+'KB 10'!E$42</f>
        <v>0</v>
      </c>
      <c r="I37" s="739">
        <f>'KB 10'!E$48</f>
        <v>23610</v>
      </c>
      <c r="J37" s="738">
        <f>SUM('KB 10'!F$22:F$23,'KB 10'!F$35:F$36)</f>
        <v>23600</v>
      </c>
      <c r="K37" s="738">
        <f t="shared" si="5"/>
        <v>1010</v>
      </c>
      <c r="L37" s="738">
        <f>'KB 10'!F$29+'KB 10'!F$42</f>
        <v>0</v>
      </c>
      <c r="M37" s="739">
        <f>'KB 10'!F$48</f>
        <v>24610</v>
      </c>
      <c r="N37" s="738">
        <f>SUM('KB 10'!G$22:G$23,'KB 10'!G$35:G$36)</f>
        <v>23100</v>
      </c>
      <c r="O37" s="738">
        <f t="shared" si="6"/>
        <v>1010</v>
      </c>
      <c r="P37" s="738">
        <f>'KB 10'!G$29+'KB 10'!G$42</f>
        <v>0</v>
      </c>
      <c r="Q37" s="739">
        <f>'KB 10'!G$48</f>
        <v>24110</v>
      </c>
    </row>
    <row r="38" spans="1:17" s="104" customFormat="1" ht="15" customHeight="1" x14ac:dyDescent="0.2">
      <c r="A38" s="732" t="str">
        <f>'(B3) Struktura Funksionale'!B60</f>
        <v>05100</v>
      </c>
      <c r="B38" s="792" t="str">
        <f>'(B3) Struktura Funksionale'!C60</f>
        <v>Menaxhimi i mbetjeve</v>
      </c>
      <c r="C38" s="147">
        <f>'KB 10'!B72</f>
        <v>0</v>
      </c>
      <c r="D38" s="147">
        <f>'KB 10'!C72</f>
        <v>0</v>
      </c>
      <c r="E38" s="147">
        <f>'KB 10'!D72</f>
        <v>0</v>
      </c>
      <c r="F38" s="80">
        <f>SUM('KB 10'!E$76:E$77,'KB 10'!E$89:E$90)</f>
        <v>22600</v>
      </c>
      <c r="G38" s="80">
        <f t="shared" si="4"/>
        <v>1010</v>
      </c>
      <c r="H38" s="80">
        <f>'KB 10'!E$83+'KB 10'!E$96</f>
        <v>0</v>
      </c>
      <c r="I38" s="143">
        <f>'KB 10'!E$102</f>
        <v>23610</v>
      </c>
      <c r="J38" s="80">
        <f>SUM('KB 10'!F$76:F$77,'KB 10'!F$89:F$90)</f>
        <v>23600</v>
      </c>
      <c r="K38" s="80">
        <f t="shared" si="5"/>
        <v>1010</v>
      </c>
      <c r="L38" s="80">
        <f>'KB 10'!F$83+'KB 10'!F$96</f>
        <v>0</v>
      </c>
      <c r="M38" s="143">
        <f>'KB 10'!F$102</f>
        <v>24610</v>
      </c>
      <c r="N38" s="80">
        <f>SUM('KB 10'!G$76:G$77,'KB 10'!G$89:G$90)</f>
        <v>23100</v>
      </c>
      <c r="O38" s="80">
        <f t="shared" si="6"/>
        <v>1010</v>
      </c>
      <c r="P38" s="80">
        <f>'KB 10'!G$83+'KB 10'!G$96</f>
        <v>0</v>
      </c>
      <c r="Q38" s="143">
        <f>'KB 10'!G$102</f>
        <v>24110</v>
      </c>
    </row>
    <row r="39" spans="1:17" ht="15" customHeight="1" x14ac:dyDescent="0.2">
      <c r="A39" s="730" t="str">
        <f>'(B2) Struktura Organizative'!A34</f>
        <v>Nënfunksioni 11</v>
      </c>
      <c r="B39" s="729" t="str">
        <f>'(B2) Struktura Organizative'!B34</f>
        <v>052 Menaxhimi i ujrave të zeza</v>
      </c>
      <c r="C39" s="737">
        <f>'KB 11'!B$18</f>
        <v>0</v>
      </c>
      <c r="D39" s="737">
        <f>'KB 11'!C$18</f>
        <v>0</v>
      </c>
      <c r="E39" s="737">
        <f>'KB 11'!D$18</f>
        <v>0</v>
      </c>
      <c r="F39" s="738">
        <f>SUM('KB 11'!E$22:E$23,'KB 11'!E$35:E$36)</f>
        <v>0</v>
      </c>
      <c r="G39" s="738">
        <f t="shared" si="4"/>
        <v>0</v>
      </c>
      <c r="H39" s="738">
        <f>'KB 11'!E$29+'KB 11'!E$42</f>
        <v>0</v>
      </c>
      <c r="I39" s="739">
        <f>'KB 11'!E$48</f>
        <v>0</v>
      </c>
      <c r="J39" s="738">
        <f>SUM('KB 11'!F$22:F$23,'KB 11'!F$35:F$36)</f>
        <v>0</v>
      </c>
      <c r="K39" s="738">
        <f t="shared" si="5"/>
        <v>0</v>
      </c>
      <c r="L39" s="738">
        <f>'KB 11'!F$29+'KB 11'!F$42</f>
        <v>0</v>
      </c>
      <c r="M39" s="739">
        <f>'KB 11'!F$48</f>
        <v>0</v>
      </c>
      <c r="N39" s="738">
        <f>SUM('KB 11'!G$22:G$23,'KB 11'!G$35:G$36)</f>
        <v>0</v>
      </c>
      <c r="O39" s="738">
        <f t="shared" si="6"/>
        <v>0</v>
      </c>
      <c r="P39" s="738">
        <f>'KB 11'!G$29+'KB 11'!G$42</f>
        <v>0</v>
      </c>
      <c r="Q39" s="739">
        <f>'KB 11'!G$48</f>
        <v>0</v>
      </c>
    </row>
    <row r="40" spans="1:17" s="104" customFormat="1" ht="15" customHeight="1" x14ac:dyDescent="0.2">
      <c r="A40" s="732" t="str">
        <f>'(B3) Struktura Funksionale'!B64</f>
        <v>05200</v>
      </c>
      <c r="B40" s="792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0</v>
      </c>
      <c r="I40" s="143">
        <f>'KB 11'!E$102</f>
        <v>0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0</v>
      </c>
      <c r="M40" s="143">
        <f>'KB 11'!F$102</f>
        <v>0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0" t="str">
        <f>'(B2) Struktura Organizative'!A36</f>
        <v>Nënfunksioni 12</v>
      </c>
      <c r="B41" s="729" t="str">
        <f>'(B2) Struktura Organizative'!B36</f>
        <v>053 Reduktimi i ndotjes</v>
      </c>
      <c r="C41" s="737">
        <f>'KB 12'!B$18</f>
        <v>0</v>
      </c>
      <c r="D41" s="737">
        <f>'KB 12'!C$18</f>
        <v>0</v>
      </c>
      <c r="E41" s="737">
        <f>'KB 12'!D$18</f>
        <v>0</v>
      </c>
      <c r="F41" s="738">
        <f>SUM('KB 12'!E$22:E$23,'KB 12'!E$35:E$36)</f>
        <v>0</v>
      </c>
      <c r="G41" s="738">
        <f t="shared" si="4"/>
        <v>0</v>
      </c>
      <c r="H41" s="738">
        <f>'KB 12'!E$29+'KB 12'!E$42</f>
        <v>0</v>
      </c>
      <c r="I41" s="739">
        <f>'KB 12'!E$48</f>
        <v>0</v>
      </c>
      <c r="J41" s="738">
        <f>SUM('KB 12'!F$22:F$23,'KB 12'!F$35:F$36)</f>
        <v>0</v>
      </c>
      <c r="K41" s="738">
        <f t="shared" si="5"/>
        <v>0</v>
      </c>
      <c r="L41" s="738">
        <f>'KB 12'!F$29+'KB 12'!F$42</f>
        <v>0</v>
      </c>
      <c r="M41" s="739">
        <f>'KB 12'!F$48</f>
        <v>0</v>
      </c>
      <c r="N41" s="738">
        <f>SUM('KB 12'!G$22:G$23,'KB 12'!G$35:G$36)</f>
        <v>0</v>
      </c>
      <c r="O41" s="738">
        <f t="shared" si="6"/>
        <v>0</v>
      </c>
      <c r="P41" s="738">
        <f>'KB 12'!G$29+'KB 12'!G$42</f>
        <v>0</v>
      </c>
      <c r="Q41" s="739">
        <f>'KB 12'!G$48</f>
        <v>0</v>
      </c>
    </row>
    <row r="42" spans="1:17" s="104" customFormat="1" ht="15" customHeight="1" x14ac:dyDescent="0.2">
      <c r="A42" s="732" t="str">
        <f>'(B3) Struktura Funksionale'!B68</f>
        <v>05320</v>
      </c>
      <c r="B42" s="792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0" t="str">
        <f>'(B2) Struktura Organizative'!A38</f>
        <v>Nënfunksioni 13</v>
      </c>
      <c r="B43" s="729" t="str">
        <f>'(B2) Struktura Organizative'!B38</f>
        <v>056 Mbrojtja e mjedisit</v>
      </c>
      <c r="C43" s="737">
        <f>'KB 13'!B$18</f>
        <v>0</v>
      </c>
      <c r="D43" s="737">
        <f>'KB 13'!C$18</f>
        <v>0</v>
      </c>
      <c r="E43" s="737">
        <f>'KB 13'!D$18</f>
        <v>0</v>
      </c>
      <c r="F43" s="738">
        <f>SUM('KB 13'!E$22:E$23,'KB 13'!E$35:E$36)</f>
        <v>0</v>
      </c>
      <c r="G43" s="738">
        <f t="shared" si="4"/>
        <v>0</v>
      </c>
      <c r="H43" s="738">
        <f>'KB 13'!E$29+'KB 13'!E$42</f>
        <v>0</v>
      </c>
      <c r="I43" s="739">
        <f>'KB 13'!E$48</f>
        <v>0</v>
      </c>
      <c r="J43" s="738">
        <f>SUM('KB 13'!F$22:F$23,'KB 13'!F$35:F$36)</f>
        <v>0</v>
      </c>
      <c r="K43" s="738">
        <f t="shared" si="5"/>
        <v>0</v>
      </c>
      <c r="L43" s="738">
        <f>'KB 13'!F$29+'KB 13'!F$42</f>
        <v>0</v>
      </c>
      <c r="M43" s="739">
        <f>'KB 13'!F$48</f>
        <v>0</v>
      </c>
      <c r="N43" s="738">
        <f>SUM('KB 13'!G$22:G$23,'KB 13'!G$35:G$36)</f>
        <v>0</v>
      </c>
      <c r="O43" s="738">
        <f t="shared" si="6"/>
        <v>0</v>
      </c>
      <c r="P43" s="738">
        <f>'KB 13'!G$29+'KB 13'!G$42</f>
        <v>0</v>
      </c>
      <c r="Q43" s="739">
        <f>'KB 13'!G$48</f>
        <v>0</v>
      </c>
    </row>
    <row r="44" spans="1:17" s="104" customFormat="1" ht="15" customHeight="1" x14ac:dyDescent="0.2">
      <c r="A44" s="732" t="str">
        <f>'(B3) Struktura Funksionale'!B72</f>
        <v>05630</v>
      </c>
      <c r="B44" s="792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2" t="str">
        <f>'(B3) Struktura Funksionale'!B73</f>
        <v>05640</v>
      </c>
      <c r="B45" s="792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0" t="str">
        <f>'(B2) Struktura Organizative'!A40</f>
        <v>Nënfunksioni 14</v>
      </c>
      <c r="B46" s="729" t="str">
        <f>'(B2) Struktura Organizative'!B40</f>
        <v>061 Urbanistika</v>
      </c>
      <c r="C46" s="737">
        <f>'KB 14'!B$18</f>
        <v>0</v>
      </c>
      <c r="D46" s="737">
        <f>'KB 14'!C$18</f>
        <v>0</v>
      </c>
      <c r="E46" s="737">
        <f>'KB 14'!D$18</f>
        <v>0</v>
      </c>
      <c r="F46" s="738">
        <f>SUM('KB 14'!E$22:E$23,'KB 14'!E$35:E$36)</f>
        <v>0</v>
      </c>
      <c r="G46" s="738">
        <f t="shared" si="4"/>
        <v>0</v>
      </c>
      <c r="H46" s="738">
        <f>'KB 14'!E$29+'KB 14'!E$42</f>
        <v>0</v>
      </c>
      <c r="I46" s="739">
        <f>'KB 14'!E$48</f>
        <v>0</v>
      </c>
      <c r="J46" s="738">
        <f>SUM('KB 14'!F$22:F$23,'KB 14'!F$35:F$36)</f>
        <v>0</v>
      </c>
      <c r="K46" s="738">
        <f t="shared" si="5"/>
        <v>0</v>
      </c>
      <c r="L46" s="738">
        <f>'KB 14'!F$29+'KB 14'!F$42</f>
        <v>0</v>
      </c>
      <c r="M46" s="739">
        <f>'KB 14'!F$48</f>
        <v>0</v>
      </c>
      <c r="N46" s="738">
        <f>SUM('KB 14'!G$22:G$23,'KB 14'!G$35:G$36)</f>
        <v>0</v>
      </c>
      <c r="O46" s="738">
        <f t="shared" si="6"/>
        <v>0</v>
      </c>
      <c r="P46" s="738">
        <f>'KB 14'!G$29+'KB 14'!G$42</f>
        <v>0</v>
      </c>
      <c r="Q46" s="739">
        <f>'KB 14'!G$48</f>
        <v>0</v>
      </c>
    </row>
    <row r="47" spans="1:17" s="104" customFormat="1" ht="15" customHeight="1" x14ac:dyDescent="0.2">
      <c r="A47" s="732" t="str">
        <f>'(B3) Struktura Funksionale'!B77</f>
        <v>06140</v>
      </c>
      <c r="B47" s="792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 x14ac:dyDescent="0.2">
      <c r="A48" s="732" t="str">
        <f>'(B3) Struktura Funksionale'!B78</f>
        <v>06180</v>
      </c>
      <c r="B48" s="792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0" t="str">
        <f>'(B2) Struktura Organizative'!A42</f>
        <v>Nënfunksioni 15</v>
      </c>
      <c r="B49" s="729" t="str">
        <f>'(B2) Struktura Organizative'!B42</f>
        <v>062 Zhvillimi i komunitetit</v>
      </c>
      <c r="C49" s="737">
        <f>'KB 15'!B$18</f>
        <v>151291</v>
      </c>
      <c r="D49" s="737">
        <f>'KB 15'!C$18</f>
        <v>151291</v>
      </c>
      <c r="E49" s="737">
        <f>'KB 15'!D$18</f>
        <v>151291</v>
      </c>
      <c r="F49" s="738">
        <f>SUM('KB 15'!E$22:E$23,'KB 15'!E$35:E$36)</f>
        <v>77280</v>
      </c>
      <c r="G49" s="738">
        <f t="shared" si="4"/>
        <v>66003</v>
      </c>
      <c r="H49" s="738">
        <f>'KB 15'!E$29+'KB 15'!E$42</f>
        <v>21818</v>
      </c>
      <c r="I49" s="739">
        <f>'KB 15'!E$48</f>
        <v>165101</v>
      </c>
      <c r="J49" s="738">
        <f>SUM('KB 15'!F$22:F$23,'KB 15'!F$35:F$36)</f>
        <v>77280</v>
      </c>
      <c r="K49" s="738">
        <f t="shared" si="5"/>
        <v>66003</v>
      </c>
      <c r="L49" s="738">
        <f>'KB 15'!F$29+'KB 15'!F$42</f>
        <v>21818</v>
      </c>
      <c r="M49" s="739">
        <f>'KB 15'!F$48</f>
        <v>165101</v>
      </c>
      <c r="N49" s="738">
        <f>SUM('KB 15'!G$22:G$23,'KB 15'!G$35:G$36)</f>
        <v>79280</v>
      </c>
      <c r="O49" s="738">
        <f t="shared" si="6"/>
        <v>66003</v>
      </c>
      <c r="P49" s="738">
        <f>'KB 15'!G$29+'KB 15'!G$42</f>
        <v>25818</v>
      </c>
      <c r="Q49" s="739">
        <f>'KB 15'!G$48</f>
        <v>171101</v>
      </c>
    </row>
    <row r="50" spans="1:17" s="104" customFormat="1" ht="15" customHeight="1" x14ac:dyDescent="0.2">
      <c r="A50" s="732" t="str">
        <f>'(B3) Struktura Funksionale'!B81</f>
        <v>06210</v>
      </c>
      <c r="B50" s="792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2" t="str">
        <f>'(B3) Struktura Funksionale'!B82</f>
        <v>06260</v>
      </c>
      <c r="B51" s="792" t="str">
        <f>'(B3) Struktura Funksionale'!C82</f>
        <v>Sherbime publike vendore</v>
      </c>
      <c r="C51" s="147">
        <f>'KB 15'!B111</f>
        <v>151291</v>
      </c>
      <c r="D51" s="147">
        <f>'KB 15'!C111</f>
        <v>151291</v>
      </c>
      <c r="E51" s="147">
        <f>'KB 15'!D111</f>
        <v>151291</v>
      </c>
      <c r="F51" s="80">
        <f>SUM('KB 15'!E$115:E$116,'KB 15'!E$128:E$129)</f>
        <v>77280</v>
      </c>
      <c r="G51" s="80">
        <f t="shared" si="4"/>
        <v>66003</v>
      </c>
      <c r="H51" s="80">
        <f>'KB 15'!E$122+'KB 15'!E$135</f>
        <v>21818</v>
      </c>
      <c r="I51" s="143">
        <f>'KB 15'!E$141</f>
        <v>165101</v>
      </c>
      <c r="J51" s="80">
        <f>SUM('KB 15'!F$115:F$116,'KB 15'!F$128:F$129)</f>
        <v>77280</v>
      </c>
      <c r="K51" s="80">
        <f t="shared" si="5"/>
        <v>66003</v>
      </c>
      <c r="L51" s="80">
        <f>'KB 15'!F$122+'KB 15'!F$135</f>
        <v>21818</v>
      </c>
      <c r="M51" s="143">
        <f>'KB 15'!F$141</f>
        <v>165101</v>
      </c>
      <c r="N51" s="80">
        <f>SUM('KB 15'!G$115:G$116,'KB 15'!G$128:G$129)</f>
        <v>79280</v>
      </c>
      <c r="O51" s="80">
        <f t="shared" si="6"/>
        <v>66003</v>
      </c>
      <c r="P51" s="80">
        <f>'KB 15'!G$122+'KB 15'!G$135</f>
        <v>25818</v>
      </c>
      <c r="Q51" s="143">
        <f>'KB 15'!G$141</f>
        <v>171101</v>
      </c>
    </row>
    <row r="52" spans="1:17" ht="15" customHeight="1" x14ac:dyDescent="0.2">
      <c r="A52" s="730" t="str">
        <f>'(B2) Struktura Organizative'!A45</f>
        <v>Nënfunksioni 16</v>
      </c>
      <c r="B52" s="729" t="str">
        <f>'(B2) Struktura Organizative'!B45</f>
        <v>063 Furnizimi me ujë</v>
      </c>
      <c r="C52" s="737">
        <f>'KB 16'!B$18</f>
        <v>0</v>
      </c>
      <c r="D52" s="737">
        <f>'KB 16'!C$18</f>
        <v>0</v>
      </c>
      <c r="E52" s="737">
        <f>'KB 16'!D$18</f>
        <v>0</v>
      </c>
      <c r="F52" s="738">
        <f>SUM('KB 16'!E$22:E$23,'KB 16'!E$35:E$36)</f>
        <v>0</v>
      </c>
      <c r="G52" s="738">
        <f t="shared" si="4"/>
        <v>0</v>
      </c>
      <c r="H52" s="738">
        <f>'KB 16'!E$29+'KB 16'!E$42</f>
        <v>0</v>
      </c>
      <c r="I52" s="739">
        <f>'KB 16'!E$48</f>
        <v>0</v>
      </c>
      <c r="J52" s="738">
        <f>SUM('KB 16'!F$22:F$23,'KB 16'!F$35:F$36)</f>
        <v>0</v>
      </c>
      <c r="K52" s="738">
        <f t="shared" si="5"/>
        <v>0</v>
      </c>
      <c r="L52" s="738">
        <f>'KB 16'!F$29+'KB 16'!F$42</f>
        <v>0</v>
      </c>
      <c r="M52" s="739">
        <f>'KB 16'!F$48</f>
        <v>0</v>
      </c>
      <c r="N52" s="738">
        <f>SUM('KB 16'!G$22:G$23,'KB 16'!G$35:G$36)</f>
        <v>0</v>
      </c>
      <c r="O52" s="738">
        <f t="shared" si="6"/>
        <v>0</v>
      </c>
      <c r="P52" s="738">
        <f>'KB 16'!G$29+'KB 16'!G$42</f>
        <v>0</v>
      </c>
      <c r="Q52" s="739">
        <f>'KB 16'!G$48</f>
        <v>0</v>
      </c>
    </row>
    <row r="53" spans="1:17" s="104" customFormat="1" ht="15" customHeight="1" x14ac:dyDescent="0.2">
      <c r="A53" s="732" t="str">
        <f>'(B3) Struktura Funksionale'!B85</f>
        <v>06330</v>
      </c>
      <c r="B53" s="792" t="str">
        <f>'(B3) Struktura Funksionale'!C85</f>
        <v xml:space="preserve">Furnizimi me ujë </v>
      </c>
      <c r="C53" s="147">
        <f>'KB 16'!B72</f>
        <v>0</v>
      </c>
      <c r="D53" s="147">
        <f>'KB 16'!C72</f>
        <v>0</v>
      </c>
      <c r="E53" s="147">
        <f>'KB 16'!D72</f>
        <v>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0</v>
      </c>
      <c r="I53" s="143">
        <f>'KB 16'!E$102</f>
        <v>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0</v>
      </c>
      <c r="M53" s="143">
        <f>'KB 16'!F$102</f>
        <v>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 x14ac:dyDescent="0.2">
      <c r="A54" s="730" t="str">
        <f>'(B2) Struktura Organizative'!A47</f>
        <v>Nënfunksioni 17</v>
      </c>
      <c r="B54" s="729" t="str">
        <f>'(B2) Struktura Organizative'!B47</f>
        <v xml:space="preserve">                               </v>
      </c>
      <c r="C54" s="737">
        <f>'KB 17'!B$18</f>
        <v>0</v>
      </c>
      <c r="D54" s="737">
        <f>'KB 17'!C$18</f>
        <v>0</v>
      </c>
      <c r="E54" s="737">
        <f>'KB 17'!D$18</f>
        <v>0</v>
      </c>
      <c r="F54" s="738">
        <f>SUM('KB 17'!E$22:E$23,'KB 17'!E$35:E$36)</f>
        <v>4820</v>
      </c>
      <c r="G54" s="738">
        <f t="shared" si="4"/>
        <v>7150</v>
      </c>
      <c r="H54" s="738">
        <f>'KB 17'!E$29+'KB 17'!E$42</f>
        <v>0</v>
      </c>
      <c r="I54" s="739">
        <f>'KB 17'!E$48</f>
        <v>11970</v>
      </c>
      <c r="J54" s="738">
        <f>SUM('KB 17'!F$22:F$23,'KB 17'!F$35:F$36)</f>
        <v>4820</v>
      </c>
      <c r="K54" s="738">
        <f t="shared" si="5"/>
        <v>9150</v>
      </c>
      <c r="L54" s="738">
        <f>'KB 17'!F$29+'KB 17'!F$42</f>
        <v>0</v>
      </c>
      <c r="M54" s="739">
        <f>'KB 17'!F$48</f>
        <v>13970</v>
      </c>
      <c r="N54" s="738">
        <f>SUM('KB 17'!G$22:G$23,'KB 17'!G$35:G$36)</f>
        <v>4820</v>
      </c>
      <c r="O54" s="738">
        <f t="shared" si="6"/>
        <v>7150</v>
      </c>
      <c r="P54" s="738">
        <f>'KB 17'!G$29+'KB 17'!G$42</f>
        <v>1200</v>
      </c>
      <c r="Q54" s="739">
        <f>'KB 17'!G$48</f>
        <v>13170</v>
      </c>
    </row>
    <row r="55" spans="1:17" s="104" customFormat="1" ht="15" customHeight="1" x14ac:dyDescent="0.2">
      <c r="A55" s="732" t="str">
        <f>'(B3) Struktura Funksionale'!B89</f>
        <v>06440</v>
      </c>
      <c r="B55" s="792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4820</v>
      </c>
      <c r="G55" s="80">
        <f t="shared" si="4"/>
        <v>7150</v>
      </c>
      <c r="H55" s="80">
        <f>'KB 17'!E$83+'KB 17'!E$96</f>
        <v>0</v>
      </c>
      <c r="I55" s="143">
        <f>'KB 17'!E$102</f>
        <v>11970</v>
      </c>
      <c r="J55" s="80">
        <f>SUM('KB 17'!F$76:F$77,'KB 17'!F$89:F$90)</f>
        <v>4820</v>
      </c>
      <c r="K55" s="80">
        <f t="shared" si="5"/>
        <v>9150</v>
      </c>
      <c r="L55" s="80">
        <f>'KB 17'!F$83+'KB 17'!F$96</f>
        <v>0</v>
      </c>
      <c r="M55" s="143">
        <f>'KB 17'!F$102</f>
        <v>13970</v>
      </c>
      <c r="N55" s="80">
        <f>SUM('KB 17'!G$76:G$77,'KB 17'!G$89:G$90)</f>
        <v>4820</v>
      </c>
      <c r="O55" s="80">
        <f t="shared" si="6"/>
        <v>7150</v>
      </c>
      <c r="P55" s="80">
        <f>'KB 17'!G$83+'KB 17'!G$96</f>
        <v>1200</v>
      </c>
      <c r="Q55" s="143">
        <f>'KB 17'!G$102</f>
        <v>13170</v>
      </c>
    </row>
    <row r="56" spans="1:17" ht="15" customHeight="1" x14ac:dyDescent="0.2">
      <c r="A56" s="730" t="str">
        <f>'(B2) Struktura Organizative'!A49</f>
        <v>Nënfunksioni 18</v>
      </c>
      <c r="B56" s="729" t="str">
        <f>'(B2) Struktura Organizative'!B49</f>
        <v xml:space="preserve">072 Shërbimet e kujdesit parësor </v>
      </c>
      <c r="C56" s="737">
        <f>'KB 18'!B$18</f>
        <v>0</v>
      </c>
      <c r="D56" s="737">
        <f>'KB 18'!C$18</f>
        <v>0</v>
      </c>
      <c r="E56" s="737">
        <f>'KB 18'!D$18</f>
        <v>0</v>
      </c>
      <c r="F56" s="738">
        <f>SUM('KB 18'!E$22:E$23,'KB 18'!E$35:E$36)</f>
        <v>13980</v>
      </c>
      <c r="G56" s="738">
        <f t="shared" si="4"/>
        <v>10550</v>
      </c>
      <c r="H56" s="738">
        <f>'KB 18'!E$29+'KB 18'!E$42</f>
        <v>0</v>
      </c>
      <c r="I56" s="739">
        <f>'KB 18'!E$48</f>
        <v>24530</v>
      </c>
      <c r="J56" s="738">
        <f>SUM('KB 18'!F$22:F$23,'KB 18'!F$35:F$36)</f>
        <v>13980</v>
      </c>
      <c r="K56" s="738">
        <f t="shared" si="5"/>
        <v>10550</v>
      </c>
      <c r="L56" s="738">
        <f>'KB 18'!F$29+'KB 18'!F$42</f>
        <v>0</v>
      </c>
      <c r="M56" s="739">
        <f>'KB 18'!F$48</f>
        <v>24530</v>
      </c>
      <c r="N56" s="738">
        <f>SUM('KB 18'!G$22:G$23,'KB 18'!G$35:G$36)</f>
        <v>13980</v>
      </c>
      <c r="O56" s="738">
        <f t="shared" si="6"/>
        <v>10550</v>
      </c>
      <c r="P56" s="738">
        <f>'KB 18'!G$29+'KB 18'!G$42</f>
        <v>0</v>
      </c>
      <c r="Q56" s="739">
        <f>'KB 18'!G$48</f>
        <v>24530</v>
      </c>
    </row>
    <row r="57" spans="1:17" s="104" customFormat="1" ht="15" customHeight="1" x14ac:dyDescent="0.2">
      <c r="A57" s="732" t="str">
        <f>'(B3) Struktura Funksionale'!B94</f>
        <v>07220</v>
      </c>
      <c r="B57" s="792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13980</v>
      </c>
      <c r="G57" s="80">
        <f t="shared" si="4"/>
        <v>10550</v>
      </c>
      <c r="H57" s="80">
        <f>'KB 18'!E$83+'KB 18'!E$96</f>
        <v>0</v>
      </c>
      <c r="I57" s="143">
        <f>'KB 18'!E$102</f>
        <v>24530</v>
      </c>
      <c r="J57" s="80">
        <f>SUM('KB 18'!F$76:F$77,'KB 18'!F$89:F$90)</f>
        <v>13980</v>
      </c>
      <c r="K57" s="80">
        <f t="shared" si="5"/>
        <v>10550</v>
      </c>
      <c r="L57" s="80">
        <f>'KB 18'!F$83+'KB 18'!F$96</f>
        <v>0</v>
      </c>
      <c r="M57" s="143">
        <f>'KB 18'!F$102</f>
        <v>24530</v>
      </c>
      <c r="N57" s="80">
        <f>SUM('KB 18'!G$76:G$77,'KB 18'!G$89:G$90)</f>
        <v>13980</v>
      </c>
      <c r="O57" s="80">
        <f t="shared" si="6"/>
        <v>10550</v>
      </c>
      <c r="P57" s="80">
        <f>'KB 18'!G$83+'KB 18'!G$96</f>
        <v>0</v>
      </c>
      <c r="Q57" s="143">
        <f>'KB 18'!G$102</f>
        <v>24530</v>
      </c>
    </row>
    <row r="58" spans="1:17" ht="15" customHeight="1" x14ac:dyDescent="0.2">
      <c r="A58" s="730" t="str">
        <f>'(B2) Struktura Organizative'!A51</f>
        <v>Nënfunksioni 19</v>
      </c>
      <c r="B58" s="729" t="str">
        <f>'(B2) Struktura Organizative'!B51</f>
        <v>081 Shërbimet rekreative dhe sportive</v>
      </c>
      <c r="C58" s="737">
        <f>'KB 19'!B$18</f>
        <v>14002</v>
      </c>
      <c r="D58" s="737">
        <f>'KB 19'!C$18</f>
        <v>14002</v>
      </c>
      <c r="E58" s="737">
        <f>'KB 19'!D$18</f>
        <v>14002</v>
      </c>
      <c r="F58" s="738">
        <f>SUM('KB 19'!E$22:E$23,'KB 19'!E$35:E$36)</f>
        <v>9776</v>
      </c>
      <c r="G58" s="738">
        <f t="shared" si="4"/>
        <v>18300</v>
      </c>
      <c r="H58" s="738">
        <f>'KB 19'!E$29+'KB 19'!E$42</f>
        <v>0</v>
      </c>
      <c r="I58" s="739">
        <f>'KB 19'!E$48</f>
        <v>28076</v>
      </c>
      <c r="J58" s="738">
        <f>SUM('KB 19'!F$22:F$23,'KB 19'!F$35:F$36)</f>
        <v>9776</v>
      </c>
      <c r="K58" s="738">
        <f t="shared" si="5"/>
        <v>18300</v>
      </c>
      <c r="L58" s="738">
        <f>'KB 19'!F$29+'KB 19'!F$42</f>
        <v>0</v>
      </c>
      <c r="M58" s="739">
        <f>'KB 19'!F$48</f>
        <v>28076</v>
      </c>
      <c r="N58" s="738">
        <f>SUM('KB 19'!G$22:G$23,'KB 19'!G$35:G$36)</f>
        <v>9776</v>
      </c>
      <c r="O58" s="738">
        <f t="shared" si="6"/>
        <v>18300</v>
      </c>
      <c r="P58" s="738">
        <f>'KB 19'!G$29+'KB 19'!G$42</f>
        <v>0</v>
      </c>
      <c r="Q58" s="739">
        <f>'KB 19'!G$48</f>
        <v>28076</v>
      </c>
    </row>
    <row r="59" spans="1:17" s="104" customFormat="1" ht="15" hidden="1" customHeight="1" x14ac:dyDescent="0.2">
      <c r="A59" s="732" t="str">
        <f>'(B3) Struktura Funksionale'!B99</f>
        <v>08120</v>
      </c>
      <c r="B59" s="792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2" t="str">
        <f>'(B3) Struktura Funksionale'!B100</f>
        <v>08130</v>
      </c>
      <c r="B60" s="792" t="str">
        <f>'(B3) Struktura Funksionale'!C100</f>
        <v>Sport dhe argëtim</v>
      </c>
      <c r="C60" s="147">
        <f>'KB 19'!B111</f>
        <v>14002</v>
      </c>
      <c r="D60" s="147">
        <f>'KB 19'!C111</f>
        <v>14002</v>
      </c>
      <c r="E60" s="147">
        <f>'KB 19'!D111</f>
        <v>14002</v>
      </c>
      <c r="F60" s="80">
        <f>SUM('KB 19'!E$115:E$116,'KB 19'!E$128:E$129)</f>
        <v>9776</v>
      </c>
      <c r="G60" s="80">
        <f t="shared" si="4"/>
        <v>18300</v>
      </c>
      <c r="H60" s="80">
        <f>'KB 19'!E$122+'KB 19'!E$135</f>
        <v>0</v>
      </c>
      <c r="I60" s="143">
        <f>'KB 19'!E$141</f>
        <v>28076</v>
      </c>
      <c r="J60" s="80">
        <f>SUM('KB 19'!F$115:F$116,'KB 19'!F$128:F$129)</f>
        <v>9776</v>
      </c>
      <c r="K60" s="80">
        <f t="shared" si="5"/>
        <v>18300</v>
      </c>
      <c r="L60" s="80">
        <f>'KB 19'!F$122+'KB 19'!F$135</f>
        <v>0</v>
      </c>
      <c r="M60" s="143">
        <f>'KB 19'!F$141</f>
        <v>28076</v>
      </c>
      <c r="N60" s="80">
        <f>SUM('KB 19'!G$115:G$116,'KB 19'!G$128:G$129)</f>
        <v>9776</v>
      </c>
      <c r="O60" s="80">
        <f t="shared" si="6"/>
        <v>18300</v>
      </c>
      <c r="P60" s="80">
        <f>'KB 19'!G$122+'KB 19'!G$135</f>
        <v>0</v>
      </c>
      <c r="Q60" s="143">
        <f>'KB 19'!G$141</f>
        <v>28076</v>
      </c>
    </row>
    <row r="61" spans="1:17" ht="15" customHeight="1" x14ac:dyDescent="0.2">
      <c r="A61" s="730" t="str">
        <f>'(B2) Struktura Organizative'!A53</f>
        <v>Nënfunksioni 20</v>
      </c>
      <c r="B61" s="729" t="str">
        <f>'(B2) Struktura Organizative'!B53</f>
        <v>082 Shërbimet kulturore</v>
      </c>
      <c r="C61" s="737">
        <f>'KB 20'!B$18</f>
        <v>15896</v>
      </c>
      <c r="D61" s="737">
        <f>'KB 20'!C$18</f>
        <v>15896</v>
      </c>
      <c r="E61" s="737">
        <f>'KB 20'!D$18</f>
        <v>15896</v>
      </c>
      <c r="F61" s="738">
        <f>SUM('KB 20'!E$22:E$23,'KB 20'!E$35:E$36)</f>
        <v>16920</v>
      </c>
      <c r="G61" s="738">
        <f t="shared" si="4"/>
        <v>6550</v>
      </c>
      <c r="H61" s="738">
        <f>'KB 20'!E$29+'KB 20'!E$42</f>
        <v>2640</v>
      </c>
      <c r="I61" s="739">
        <f>'KB 20'!E$48</f>
        <v>26110</v>
      </c>
      <c r="J61" s="738">
        <f>SUM('KB 20'!F$22:F$23,'KB 20'!F$35:F$36)</f>
        <v>16920</v>
      </c>
      <c r="K61" s="738">
        <f t="shared" si="5"/>
        <v>6550</v>
      </c>
      <c r="L61" s="738">
        <f>'KB 20'!F$29+'KB 20'!F$42</f>
        <v>2640</v>
      </c>
      <c r="M61" s="739">
        <f>'KB 20'!F$48</f>
        <v>26110</v>
      </c>
      <c r="N61" s="738">
        <f>SUM('KB 20'!G$22:G$23,'KB 20'!G$35:G$36)</f>
        <v>16920</v>
      </c>
      <c r="O61" s="738">
        <f t="shared" si="6"/>
        <v>6550</v>
      </c>
      <c r="P61" s="738">
        <f>'KB 20'!G$29+'KB 20'!G$42</f>
        <v>2640</v>
      </c>
      <c r="Q61" s="739">
        <f>'KB 20'!G$48</f>
        <v>26110</v>
      </c>
    </row>
    <row r="62" spans="1:17" s="104" customFormat="1" ht="15" customHeight="1" x14ac:dyDescent="0.2">
      <c r="A62" s="732" t="str">
        <f>'(B3) Struktura Funksionale'!B103</f>
        <v>08220</v>
      </c>
      <c r="B62" s="792" t="str">
        <f>'(B3) Struktura Funksionale'!C103</f>
        <v>Trashëgimia kulturore, eventet artistike dhe kulturore</v>
      </c>
      <c r="C62" s="147">
        <f>'KB 20'!B72</f>
        <v>15896</v>
      </c>
      <c r="D62" s="147">
        <f>'KB 20'!C72</f>
        <v>15896</v>
      </c>
      <c r="E62" s="147">
        <f>'KB 20'!D72</f>
        <v>15896</v>
      </c>
      <c r="F62" s="80">
        <f>SUM('KB 20'!E$76:E$77,'KB 20'!E$89:E$90)</f>
        <v>16920</v>
      </c>
      <c r="G62" s="80">
        <f t="shared" si="4"/>
        <v>6550</v>
      </c>
      <c r="H62" s="80">
        <f>'KB 20'!E$83+'KB 20'!E$96</f>
        <v>2640</v>
      </c>
      <c r="I62" s="143">
        <f>'KB 20'!E$102</f>
        <v>26110</v>
      </c>
      <c r="J62" s="80">
        <f>SUM('KB 20'!F$76:F$77,'KB 20'!F$89:F$90)</f>
        <v>16920</v>
      </c>
      <c r="K62" s="80">
        <f t="shared" si="5"/>
        <v>6550</v>
      </c>
      <c r="L62" s="80">
        <f>'KB 20'!F$83+'KB 20'!F$96</f>
        <v>2640</v>
      </c>
      <c r="M62" s="143">
        <f>'KB 20'!F$102</f>
        <v>26110</v>
      </c>
      <c r="N62" s="80">
        <f>SUM('KB 20'!G$76:G$77,'KB 20'!G$89:G$90)</f>
        <v>16920</v>
      </c>
      <c r="O62" s="80">
        <f t="shared" si="6"/>
        <v>6550</v>
      </c>
      <c r="P62" s="80">
        <f>'KB 20'!G$83+'KB 20'!G$96</f>
        <v>2640</v>
      </c>
      <c r="Q62" s="143">
        <f>'KB 20'!G$102</f>
        <v>26110</v>
      </c>
    </row>
    <row r="63" spans="1:17" s="104" customFormat="1" ht="15" hidden="1" customHeight="1" x14ac:dyDescent="0.2">
      <c r="A63" s="732" t="str">
        <f>'(B3) Struktura Funksionale'!B104</f>
        <v>08230</v>
      </c>
      <c r="B63" s="792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2" t="str">
        <f>'(B3) Struktura Funksionale'!B105</f>
        <v>08280</v>
      </c>
      <c r="B64" s="792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0" t="str">
        <f>'(B2) Struktura Organizative'!A55</f>
        <v>Nënfunksioni 21</v>
      </c>
      <c r="B65" s="729" t="str">
        <f>'(B2) Struktura Organizative'!B55</f>
        <v>091 Arsimi bazë dhe parashkollor</v>
      </c>
      <c r="C65" s="737">
        <f>'KB 21'!B$18</f>
        <v>136432</v>
      </c>
      <c r="D65" s="737">
        <f>'KB 21'!C$18</f>
        <v>136432</v>
      </c>
      <c r="E65" s="737">
        <f>'KB 21'!D$18</f>
        <v>136432</v>
      </c>
      <c r="F65" s="738">
        <f>SUM('KB 21'!E$22:E$23,'KB 21'!E$35:E$36)</f>
        <v>140348</v>
      </c>
      <c r="G65" s="738">
        <f t="shared" si="4"/>
        <v>14307</v>
      </c>
      <c r="H65" s="738">
        <f>'KB 21'!E$29+'KB 21'!E$42</f>
        <v>2950</v>
      </c>
      <c r="I65" s="739">
        <f>'KB 21'!E$48</f>
        <v>157605</v>
      </c>
      <c r="J65" s="738">
        <f>SUM('KB 21'!F$22:F$23,'KB 21'!F$35:F$36)</f>
        <v>140348</v>
      </c>
      <c r="K65" s="738">
        <f t="shared" si="5"/>
        <v>14307</v>
      </c>
      <c r="L65" s="738">
        <f>'KB 21'!F$29+'KB 21'!F$42</f>
        <v>2950</v>
      </c>
      <c r="M65" s="739">
        <f>'KB 21'!F$48</f>
        <v>157605</v>
      </c>
      <c r="N65" s="738">
        <f>SUM('KB 21'!G$22:G$23,'KB 21'!G$35:G$36)</f>
        <v>140348</v>
      </c>
      <c r="O65" s="738">
        <f t="shared" si="6"/>
        <v>14307</v>
      </c>
      <c r="P65" s="738">
        <f>'KB 21'!G$29+'KB 21'!G$42</f>
        <v>2950</v>
      </c>
      <c r="Q65" s="739">
        <f>'KB 21'!G$48</f>
        <v>157605</v>
      </c>
    </row>
    <row r="66" spans="1:17" s="104" customFormat="1" ht="15" customHeight="1" x14ac:dyDescent="0.2">
      <c r="A66" s="732" t="str">
        <f>'(B3) Struktura Funksionale'!B109</f>
        <v>09120</v>
      </c>
      <c r="B66" s="792" t="str">
        <f>'(B3) Struktura Funksionale'!C109</f>
        <v>Arsimi bazë përfshirë arsimin parashkollor.</v>
      </c>
      <c r="C66" s="147">
        <f>'KB 21'!B72</f>
        <v>136432</v>
      </c>
      <c r="D66" s="147">
        <f>'KB 21'!C72</f>
        <v>136432</v>
      </c>
      <c r="E66" s="147">
        <f>'KB 21'!D72</f>
        <v>136432</v>
      </c>
      <c r="F66" s="80">
        <f>SUM('KB 21'!E$76:E$77,'KB 21'!E$89:E$90)</f>
        <v>140348</v>
      </c>
      <c r="G66" s="80">
        <f t="shared" si="4"/>
        <v>14307</v>
      </c>
      <c r="H66" s="80">
        <f>'KB 21'!E$83+'KB 21'!E$96</f>
        <v>2950</v>
      </c>
      <c r="I66" s="143">
        <f>'KB 21'!E$102</f>
        <v>157605</v>
      </c>
      <c r="J66" s="80">
        <f>SUM('KB 21'!F$76:F$77,'KB 21'!F$89:F$90)</f>
        <v>140348</v>
      </c>
      <c r="K66" s="80">
        <f t="shared" si="5"/>
        <v>14307</v>
      </c>
      <c r="L66" s="80">
        <f>'KB 21'!F$83+'KB 21'!F$96</f>
        <v>2950</v>
      </c>
      <c r="M66" s="143">
        <f>'KB 21'!F$102</f>
        <v>157605</v>
      </c>
      <c r="N66" s="80">
        <f>SUM('KB 21'!G$76:G$77,'KB 21'!G$89:G$90)</f>
        <v>140348</v>
      </c>
      <c r="O66" s="80">
        <f t="shared" si="6"/>
        <v>14307</v>
      </c>
      <c r="P66" s="80">
        <f>'KB 21'!G$83+'KB 21'!G$96</f>
        <v>2950</v>
      </c>
      <c r="Q66" s="143">
        <f>'KB 21'!G$102</f>
        <v>157605</v>
      </c>
    </row>
    <row r="67" spans="1:17" s="104" customFormat="1" ht="15" customHeight="1" x14ac:dyDescent="0.2">
      <c r="A67" s="730" t="str">
        <f>'(B2) Struktura Organizative'!A57</f>
        <v>Nënfunksioni 22</v>
      </c>
      <c r="B67" s="729" t="str">
        <f>'(B2) Struktura Organizative'!B57</f>
        <v>092 Arsimi  parauniversitar</v>
      </c>
      <c r="C67" s="737">
        <f>'KB 22'!B$18</f>
        <v>30860</v>
      </c>
      <c r="D67" s="737">
        <f>'KB 22'!C$18</f>
        <v>30860</v>
      </c>
      <c r="E67" s="737">
        <f>'KB 22'!D$18</f>
        <v>30860</v>
      </c>
      <c r="F67" s="738">
        <f>SUM('KB 22'!E$22:E$23,'KB 22'!E$35:E$36)</f>
        <v>33608</v>
      </c>
      <c r="G67" s="738">
        <f t="shared" si="4"/>
        <v>14024</v>
      </c>
      <c r="H67" s="738">
        <f>'KB 22'!E$29+'KB 22'!E$42</f>
        <v>0</v>
      </c>
      <c r="I67" s="739">
        <f>'KB 22'!E$48</f>
        <v>47632</v>
      </c>
      <c r="J67" s="738">
        <f>SUM('KB 22'!F$22:F$23,'KB 22'!F$35:F$36)</f>
        <v>33608</v>
      </c>
      <c r="K67" s="738">
        <f t="shared" si="5"/>
        <v>14024</v>
      </c>
      <c r="L67" s="738">
        <f>'KB 22'!F$29+'KB 22'!F$42</f>
        <v>0</v>
      </c>
      <c r="M67" s="739">
        <f>'KB 22'!F$48</f>
        <v>47632</v>
      </c>
      <c r="N67" s="738">
        <f>SUM('KB 22'!G$22:G$23,'KB 22'!G$35:G$36)</f>
        <v>33608</v>
      </c>
      <c r="O67" s="738">
        <f t="shared" si="6"/>
        <v>14024</v>
      </c>
      <c r="P67" s="738">
        <f>'KB 22'!G$29+'KB 22'!G$42</f>
        <v>0</v>
      </c>
      <c r="Q67" s="739">
        <f>'KB 22'!G$48</f>
        <v>47632</v>
      </c>
    </row>
    <row r="68" spans="1:17" s="104" customFormat="1" ht="15" customHeight="1" x14ac:dyDescent="0.2">
      <c r="A68" s="732" t="str">
        <f>'(B3) Struktura Funksionale'!B114</f>
        <v>09230</v>
      </c>
      <c r="B68" s="792" t="str">
        <f>'(B3) Struktura Funksionale'!C114</f>
        <v>Arsimi i mesëm i përgjithshëm</v>
      </c>
      <c r="C68" s="147">
        <f>'KB 22'!B72</f>
        <v>7896</v>
      </c>
      <c r="D68" s="147">
        <f>'KB 22'!C72</f>
        <v>7896</v>
      </c>
      <c r="E68" s="147">
        <f>'KB 22'!D72</f>
        <v>7896</v>
      </c>
      <c r="F68" s="80">
        <f>SUM('KB 22'!E$76:E$77,'KB 22'!E$89:E$90)</f>
        <v>9539</v>
      </c>
      <c r="G68" s="80">
        <f t="shared" si="4"/>
        <v>4057</v>
      </c>
      <c r="H68" s="80">
        <f>'KB 22'!E$83+'KB 22'!E$96</f>
        <v>0</v>
      </c>
      <c r="I68" s="143">
        <f>'KB 22'!E$102</f>
        <v>13596</v>
      </c>
      <c r="J68" s="80">
        <f>SUM('KB 22'!F$76:F$77,'KB 22'!F$89:F$90)</f>
        <v>9539</v>
      </c>
      <c r="K68" s="80">
        <f t="shared" si="5"/>
        <v>4057</v>
      </c>
      <c r="L68" s="80">
        <f>'KB 22'!F$83+'KB 22'!F$96</f>
        <v>0</v>
      </c>
      <c r="M68" s="143">
        <f>'KB 22'!F$102</f>
        <v>13596</v>
      </c>
      <c r="N68" s="80">
        <f>SUM('KB 22'!G$76:G$77,'KB 22'!G$89:G$90)</f>
        <v>9539</v>
      </c>
      <c r="O68" s="80">
        <f t="shared" si="6"/>
        <v>4057</v>
      </c>
      <c r="P68" s="80">
        <f>'KB 22'!G$83+'KB 22'!G$96</f>
        <v>0</v>
      </c>
      <c r="Q68" s="143">
        <f>'KB 22'!G$102</f>
        <v>13596</v>
      </c>
    </row>
    <row r="69" spans="1:17" s="104" customFormat="1" ht="15" hidden="1" customHeight="1" x14ac:dyDescent="0.2">
      <c r="A69" s="732" t="str">
        <f>'(B3) Struktura Funksionale'!B115</f>
        <v>09232</v>
      </c>
      <c r="B69" s="792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2" t="str">
        <f>'(B3) Struktura Funksionale'!B116</f>
        <v>09240</v>
      </c>
      <c r="B70" s="792" t="str">
        <f>'(B3) Struktura Funksionale'!C116</f>
        <v>Arsimi profesional</v>
      </c>
      <c r="C70" s="147">
        <f>'KB 22'!B150</f>
        <v>22964</v>
      </c>
      <c r="D70" s="147">
        <f>'KB 22'!C150</f>
        <v>22964</v>
      </c>
      <c r="E70" s="147">
        <f>'KB 22'!D150</f>
        <v>22964</v>
      </c>
      <c r="F70" s="80">
        <f>SUM('KB 22'!E$154:E$155,'KB 22'!E$167:E$168)</f>
        <v>24069</v>
      </c>
      <c r="G70" s="80">
        <f t="shared" si="4"/>
        <v>9967</v>
      </c>
      <c r="H70" s="80">
        <f>'KB 22'!E$161+'KB 22'!E$174</f>
        <v>0</v>
      </c>
      <c r="I70" s="143">
        <f>'KB 22'!E$180</f>
        <v>34036</v>
      </c>
      <c r="J70" s="80">
        <f>SUM('KB 22'!F$154:F$155,'KB 22'!F$167:F$168)</f>
        <v>24069</v>
      </c>
      <c r="K70" s="80">
        <f t="shared" si="5"/>
        <v>9967</v>
      </c>
      <c r="L70" s="80">
        <f>'KB 22'!F$161+'KB 22'!F$174</f>
        <v>0</v>
      </c>
      <c r="M70" s="143">
        <f>'KB 22'!F$180</f>
        <v>34036</v>
      </c>
      <c r="N70" s="80">
        <f>SUM('KB 22'!G$154:G$155,'KB 22'!G$167:G$168)</f>
        <v>24069</v>
      </c>
      <c r="O70" s="80">
        <f t="shared" si="6"/>
        <v>9967</v>
      </c>
      <c r="P70" s="80">
        <f>'KB 22'!G$161+'KB 22'!G$174</f>
        <v>0</v>
      </c>
      <c r="Q70" s="143">
        <f>'KB 22'!G$180</f>
        <v>34036</v>
      </c>
    </row>
    <row r="71" spans="1:17" s="104" customFormat="1" ht="15" customHeight="1" x14ac:dyDescent="0.2">
      <c r="A71" s="730" t="str">
        <f>'(B2) Struktura Organizative'!A60</f>
        <v>Nënfunksioni 23</v>
      </c>
      <c r="B71" s="729" t="str">
        <f>'(B2) Struktura Organizative'!B60</f>
        <v>101 Sëmundje dhe paaftësi</v>
      </c>
      <c r="C71" s="737">
        <f>'KB 23'!B$18</f>
        <v>360479</v>
      </c>
      <c r="D71" s="737">
        <f>'KB 23'!C$18</f>
        <v>554706</v>
      </c>
      <c r="E71" s="737">
        <f>'KB 23'!D$18</f>
        <v>598734</v>
      </c>
      <c r="F71" s="738">
        <f>SUM('KB 23'!E$22:E$23,'KB 23'!E$35:E$36)</f>
        <v>1940</v>
      </c>
      <c r="G71" s="738">
        <f t="shared" si="4"/>
        <v>338304</v>
      </c>
      <c r="H71" s="738">
        <f>'KB 23'!E$29+'KB 23'!E$42</f>
        <v>0</v>
      </c>
      <c r="I71" s="739">
        <f>'KB 23'!E$48</f>
        <v>340244</v>
      </c>
      <c r="J71" s="738">
        <f>SUM('KB 23'!F$22:F$23,'KB 23'!F$35:F$36)</f>
        <v>1940</v>
      </c>
      <c r="K71" s="738">
        <f t="shared" si="5"/>
        <v>341304</v>
      </c>
      <c r="L71" s="738">
        <f>'KB 23'!F$29+'KB 23'!F$42</f>
        <v>0</v>
      </c>
      <c r="M71" s="739">
        <f>'KB 23'!F$48</f>
        <v>343244</v>
      </c>
      <c r="N71" s="738">
        <f>SUM('KB 23'!G$22:G$23,'KB 23'!G$35:G$36)</f>
        <v>1940</v>
      </c>
      <c r="O71" s="738">
        <f t="shared" si="6"/>
        <v>338304</v>
      </c>
      <c r="P71" s="738">
        <f>'KB 23'!G$29+'KB 23'!G$42</f>
        <v>0</v>
      </c>
      <c r="Q71" s="739">
        <f>'KB 23'!G$48</f>
        <v>340244</v>
      </c>
    </row>
    <row r="72" spans="1:17" s="104" customFormat="1" ht="15" customHeight="1" x14ac:dyDescent="0.2">
      <c r="A72" s="732" t="str">
        <f>'(B3) Struktura Funksionale'!B124</f>
        <v>10140</v>
      </c>
      <c r="B72" s="792" t="str">
        <f>'(B3) Struktura Funksionale'!C124</f>
        <v>Kujdesi social për personat e sëmurë dhe me aftësi të kufizuara</v>
      </c>
      <c r="C72" s="147">
        <f>'KB 23'!B72</f>
        <v>360479</v>
      </c>
      <c r="D72" s="147">
        <f>'KB 23'!C72</f>
        <v>554706</v>
      </c>
      <c r="E72" s="147">
        <f>'KB 23'!D72</f>
        <v>598734</v>
      </c>
      <c r="F72" s="80">
        <f>SUM('KB 23'!E$76:E$77,'KB 23'!E$89:E$90)</f>
        <v>1940</v>
      </c>
      <c r="G72" s="80">
        <f t="shared" si="4"/>
        <v>338304</v>
      </c>
      <c r="H72" s="80">
        <f>'KB 23'!E$83+'KB 23'!E$96</f>
        <v>0</v>
      </c>
      <c r="I72" s="143">
        <f>'KB 23'!E$102</f>
        <v>340244</v>
      </c>
      <c r="J72" s="80">
        <f>SUM('KB 23'!F$76:F$77,'KB 23'!F$89:F$90)</f>
        <v>1940</v>
      </c>
      <c r="K72" s="80">
        <f t="shared" si="5"/>
        <v>341304</v>
      </c>
      <c r="L72" s="80">
        <f>'KB 23'!F$83+'KB 23'!F$96</f>
        <v>0</v>
      </c>
      <c r="M72" s="143">
        <f>'KB 23'!F$102</f>
        <v>343244</v>
      </c>
      <c r="N72" s="80">
        <f>SUM('KB 23'!G$76:G$77,'KB 23'!G$89:G$90)</f>
        <v>1940</v>
      </c>
      <c r="O72" s="80">
        <f t="shared" si="6"/>
        <v>338304</v>
      </c>
      <c r="P72" s="80">
        <f>'KB 23'!G$83+'KB 23'!G$96</f>
        <v>0</v>
      </c>
      <c r="Q72" s="143">
        <f>'KB 23'!G$102</f>
        <v>340244</v>
      </c>
    </row>
    <row r="73" spans="1:17" s="104" customFormat="1" ht="15" customHeight="1" x14ac:dyDescent="0.2">
      <c r="A73" s="730" t="str">
        <f>'(B2) Struktura Organizative'!A62</f>
        <v>Nënfunksioni 24</v>
      </c>
      <c r="B73" s="729" t="str">
        <f>'(B2) Struktura Organizative'!B62</f>
        <v>102 Të moshuarit</v>
      </c>
      <c r="C73" s="737">
        <f>'KB 24'!B$18</f>
        <v>0</v>
      </c>
      <c r="D73" s="737">
        <f>'KB 24'!C$18</f>
        <v>0</v>
      </c>
      <c r="E73" s="737">
        <f>'KB 24'!D$18</f>
        <v>0</v>
      </c>
      <c r="F73" s="738">
        <f>SUM('KB 24'!E$22:E$23,'KB 24'!E$35:E$36)</f>
        <v>0</v>
      </c>
      <c r="G73" s="738">
        <f t="shared" si="4"/>
        <v>0</v>
      </c>
      <c r="H73" s="738">
        <f>'KB 24'!E$29+'KB 24'!E$42</f>
        <v>0</v>
      </c>
      <c r="I73" s="739">
        <f>'KB 24'!E$48</f>
        <v>0</v>
      </c>
      <c r="J73" s="738">
        <f>SUM('KB 24'!F$22:F$23,'KB 24'!F$35:F$36)</f>
        <v>0</v>
      </c>
      <c r="K73" s="738">
        <f t="shared" si="5"/>
        <v>0</v>
      </c>
      <c r="L73" s="738">
        <f>'KB 24'!F$29+'KB 24'!F$42</f>
        <v>0</v>
      </c>
      <c r="M73" s="739">
        <f>'KB 24'!F$48</f>
        <v>0</v>
      </c>
      <c r="N73" s="738">
        <f>SUM('KB 24'!G$22:G$23,'KB 24'!G$35:G$36)</f>
        <v>0</v>
      </c>
      <c r="O73" s="738">
        <f t="shared" si="6"/>
        <v>0</v>
      </c>
      <c r="P73" s="738">
        <f>'KB 24'!G$29+'KB 24'!G$42</f>
        <v>0</v>
      </c>
      <c r="Q73" s="739">
        <f>'KB 24'!G$48</f>
        <v>0</v>
      </c>
    </row>
    <row r="74" spans="1:17" s="104" customFormat="1" ht="15" customHeight="1" x14ac:dyDescent="0.2">
      <c r="A74" s="732" t="str">
        <f>'(B3) Struktura Funksionale'!B128</f>
        <v>10220</v>
      </c>
      <c r="B74" s="792" t="str">
        <f>'(B3) Struktura Funksionale'!C128</f>
        <v>Sigurimi shoqëror</v>
      </c>
      <c r="C74" s="147">
        <f>'KB 24'!B72</f>
        <v>0</v>
      </c>
      <c r="D74" s="147">
        <f>'KB 24'!C72</f>
        <v>0</v>
      </c>
      <c r="E74" s="147">
        <f>'KB 24'!D72</f>
        <v>0</v>
      </c>
      <c r="F74" s="80">
        <f>SUM('KB 24'!E$76:E$77,'KB 24'!E$89:E$90)</f>
        <v>0</v>
      </c>
      <c r="G74" s="80">
        <f t="shared" si="4"/>
        <v>0</v>
      </c>
      <c r="H74" s="80">
        <f>'KB 24'!E$83+'KB 24'!E$96</f>
        <v>0</v>
      </c>
      <c r="I74" s="143">
        <f>'KB 24'!E$102</f>
        <v>0</v>
      </c>
      <c r="J74" s="80">
        <f>SUM('KB 24'!F$76:F$77,'KB 24'!F$89:F$90)</f>
        <v>0</v>
      </c>
      <c r="K74" s="80">
        <f t="shared" si="5"/>
        <v>0</v>
      </c>
      <c r="L74" s="80">
        <f>'KB 24'!F$83+'KB 24'!F$96</f>
        <v>0</v>
      </c>
      <c r="M74" s="143">
        <f>'KB 24'!F$102</f>
        <v>0</v>
      </c>
      <c r="N74" s="80">
        <f>SUM('KB 24'!G$76:G$77,'KB 24'!G$89:G$90)</f>
        <v>0</v>
      </c>
      <c r="O74" s="80">
        <f t="shared" si="6"/>
        <v>0</v>
      </c>
      <c r="P74" s="80">
        <f>'KB 24'!G$83+'KB 24'!G$96</f>
        <v>0</v>
      </c>
      <c r="Q74" s="143">
        <f>'KB 24'!G$102</f>
        <v>0</v>
      </c>
    </row>
    <row r="75" spans="1:17" s="104" customFormat="1" ht="15" customHeight="1" x14ac:dyDescent="0.2">
      <c r="A75" s="730" t="str">
        <f>'(B2) Struktura Organizative'!A64</f>
        <v>Nënfunksioni 25</v>
      </c>
      <c r="B75" s="729" t="str">
        <f>'(B2) Struktura Organizative'!B64</f>
        <v>104 Familje dhe fëmijë</v>
      </c>
      <c r="C75" s="737">
        <f>'KB 25'!B$18</f>
        <v>143066</v>
      </c>
      <c r="D75" s="737">
        <f>'KB 25'!C$18</f>
        <v>143066</v>
      </c>
      <c r="E75" s="737">
        <f>'KB 25'!D$18</f>
        <v>143066</v>
      </c>
      <c r="F75" s="738">
        <f>SUM('KB 25'!E$22:E$23,'KB 25'!E$35:E$36)</f>
        <v>17800</v>
      </c>
      <c r="G75" s="738">
        <f t="shared" si="4"/>
        <v>2300</v>
      </c>
      <c r="H75" s="738">
        <f>'KB 25'!E$29+'KB 25'!E$42</f>
        <v>0</v>
      </c>
      <c r="I75" s="739">
        <f>'KB 25'!E$48</f>
        <v>20100</v>
      </c>
      <c r="J75" s="738">
        <f>SUM('KB 25'!F$22:F$23,'KB 25'!F$35:F$36)</f>
        <v>17744</v>
      </c>
      <c r="K75" s="738">
        <f t="shared" si="5"/>
        <v>2300</v>
      </c>
      <c r="L75" s="738">
        <f>'KB 25'!F$29+'KB 25'!F$42</f>
        <v>0</v>
      </c>
      <c r="M75" s="739">
        <f>'KB 25'!F$48</f>
        <v>20044</v>
      </c>
      <c r="N75" s="738">
        <f>SUM('KB 25'!G$22:G$23,'KB 25'!G$35:G$36)</f>
        <v>17800</v>
      </c>
      <c r="O75" s="738">
        <f t="shared" si="6"/>
        <v>2300</v>
      </c>
      <c r="P75" s="738">
        <f>'KB 25'!G$29+'KB 25'!G$42</f>
        <v>0</v>
      </c>
      <c r="Q75" s="739">
        <f>'KB 25'!G$48</f>
        <v>20100</v>
      </c>
    </row>
    <row r="76" spans="1:17" s="104" customFormat="1" ht="15" customHeight="1" x14ac:dyDescent="0.2">
      <c r="A76" s="732" t="str">
        <f>'(B3) Struktura Funksionale'!B132</f>
        <v>10430</v>
      </c>
      <c r="B76" s="792" t="str">
        <f>'(B3) Struktura Funksionale'!C132</f>
        <v>Kujdesi social për familjet dhe fëmijët</v>
      </c>
      <c r="C76" s="147">
        <f>'KB 25'!B72</f>
        <v>143066</v>
      </c>
      <c r="D76" s="147">
        <f>'KB 25'!C72</f>
        <v>143066</v>
      </c>
      <c r="E76" s="147">
        <f>'KB 25'!D72</f>
        <v>143066</v>
      </c>
      <c r="F76" s="80">
        <f>SUM('KB 25'!E$76:E$77,'KB 25'!E$89:E$90)</f>
        <v>17800</v>
      </c>
      <c r="G76" s="80">
        <f t="shared" si="4"/>
        <v>2300</v>
      </c>
      <c r="H76" s="80">
        <f>'KB 25'!E$83+'KB 25'!E$96</f>
        <v>0</v>
      </c>
      <c r="I76" s="143">
        <f>'KB 25'!E$102</f>
        <v>20100</v>
      </c>
      <c r="J76" s="80">
        <f>SUM('KB 25'!F$76:F$77,'KB 25'!F$89:F$90)</f>
        <v>17744</v>
      </c>
      <c r="K76" s="80">
        <f t="shared" si="5"/>
        <v>2300</v>
      </c>
      <c r="L76" s="80">
        <f>'KB 25'!F$83+'KB 25'!F$96</f>
        <v>0</v>
      </c>
      <c r="M76" s="143">
        <f>'KB 25'!F$102</f>
        <v>20044</v>
      </c>
      <c r="N76" s="80">
        <f>SUM('KB 25'!G$76:G$77,'KB 25'!G$89:G$90)</f>
        <v>17800</v>
      </c>
      <c r="O76" s="80">
        <f t="shared" si="6"/>
        <v>2300</v>
      </c>
      <c r="P76" s="80">
        <f>'KB 25'!G$83+'KB 25'!G$96</f>
        <v>0</v>
      </c>
      <c r="Q76" s="143">
        <f>'KB 25'!G$102</f>
        <v>20100</v>
      </c>
    </row>
    <row r="77" spans="1:17" s="104" customFormat="1" ht="15" hidden="1" customHeight="1" x14ac:dyDescent="0.2">
      <c r="A77" s="732" t="str">
        <f>'(B3) Struktura Funksionale'!B133</f>
        <v>10460</v>
      </c>
      <c r="B77" s="792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0" t="str">
        <f>'(B2) Struktura Organizative'!A66</f>
        <v>Nënfunksioni 26</v>
      </c>
      <c r="B78" s="729" t="str">
        <f>'(B2) Struktura Organizative'!B66</f>
        <v>105 Papunësia</v>
      </c>
      <c r="C78" s="737">
        <f>'KB 26'!B$18</f>
        <v>0</v>
      </c>
      <c r="D78" s="737">
        <f>'KB 26'!C$18</f>
        <v>0</v>
      </c>
      <c r="E78" s="737">
        <f>'KB 26'!D$18</f>
        <v>0</v>
      </c>
      <c r="F78" s="738">
        <f>SUM('KB 26'!E$22:E$23,'KB 26'!E$35:E$36)</f>
        <v>0</v>
      </c>
      <c r="G78" s="738">
        <f t="shared" si="4"/>
        <v>0</v>
      </c>
      <c r="H78" s="738">
        <f>'KB 26'!E$29+'KB 26'!E$42</f>
        <v>0</v>
      </c>
      <c r="I78" s="739">
        <f>'KB 26'!E$48</f>
        <v>0</v>
      </c>
      <c r="J78" s="738">
        <f>SUM('KB 26'!F$22:F$23,'KB 26'!F$35:F$36)</f>
        <v>0</v>
      </c>
      <c r="K78" s="738">
        <f t="shared" si="5"/>
        <v>0</v>
      </c>
      <c r="L78" s="738">
        <f>'KB 26'!F$29+'KB 26'!F$42</f>
        <v>0</v>
      </c>
      <c r="M78" s="739">
        <f>'KB 26'!F$48</f>
        <v>0</v>
      </c>
      <c r="N78" s="738">
        <f>SUM('KB 26'!G$22:G$23,'KB 26'!G$35:G$36)</f>
        <v>0</v>
      </c>
      <c r="O78" s="738">
        <f t="shared" si="6"/>
        <v>0</v>
      </c>
      <c r="P78" s="738">
        <f>'KB 26'!G$29+'KB 26'!G$42</f>
        <v>0</v>
      </c>
      <c r="Q78" s="739">
        <f>'KB 26'!G$48</f>
        <v>0</v>
      </c>
    </row>
    <row r="79" spans="1:17" s="104" customFormat="1" ht="15" customHeight="1" x14ac:dyDescent="0.2">
      <c r="A79" s="732" t="str">
        <f>'(B3) Struktura Funksionale'!B136</f>
        <v>10550</v>
      </c>
      <c r="B79" s="792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0" t="str">
        <f>'(B2) Struktura Organizative'!A68</f>
        <v>Nënfunksioni 27</v>
      </c>
      <c r="B80" s="729" t="str">
        <f>'(B2) Struktura Organizative'!B68</f>
        <v>106 Strehimi social</v>
      </c>
      <c r="C80" s="737">
        <f>'KB27'!B$18</f>
        <v>414697</v>
      </c>
      <c r="D80" s="737">
        <f>'KB27'!C$18</f>
        <v>414597</v>
      </c>
      <c r="E80" s="737">
        <f>'KB27'!D$18</f>
        <v>414697</v>
      </c>
      <c r="F80" s="738">
        <f>SUM('KB27'!E$22:E$23,'KB27'!E$35:E$36)</f>
        <v>0</v>
      </c>
      <c r="G80" s="738">
        <f t="shared" si="4"/>
        <v>530000</v>
      </c>
      <c r="H80" s="738">
        <f>'KB27'!E$29+'KB27'!E$42</f>
        <v>0</v>
      </c>
      <c r="I80" s="739">
        <f>'KB27'!E$48</f>
        <v>530000</v>
      </c>
      <c r="J80" s="738">
        <f>SUM('KB27'!F$22:F$23,'KB27'!F$35:F$36)</f>
        <v>0</v>
      </c>
      <c r="K80" s="738">
        <f t="shared" si="5"/>
        <v>532000</v>
      </c>
      <c r="L80" s="738">
        <f>'KB27'!F$29+'KB27'!F$42</f>
        <v>0</v>
      </c>
      <c r="M80" s="739">
        <f>'KB27'!F$48</f>
        <v>532000</v>
      </c>
      <c r="N80" s="738">
        <f>SUM('KB27'!G$22:G$23,'KB27'!G$35:G$36)</f>
        <v>0</v>
      </c>
      <c r="O80" s="738">
        <f t="shared" si="6"/>
        <v>531408</v>
      </c>
      <c r="P80" s="738">
        <f>'KB27'!G$29+'KB27'!G$42</f>
        <v>0</v>
      </c>
      <c r="Q80" s="739">
        <f>'KB27'!G$48</f>
        <v>531408</v>
      </c>
    </row>
    <row r="81" spans="1:17" s="104" customFormat="1" ht="15" customHeight="1" x14ac:dyDescent="0.2">
      <c r="A81" s="732" t="str">
        <f>'(B3) Struktura Funksionale'!B140</f>
        <v>10661</v>
      </c>
      <c r="B81" s="792" t="str">
        <f>'(B3) Struktura Funksionale'!C140</f>
        <v>Strehimi social</v>
      </c>
      <c r="C81" s="147">
        <f>'KB27'!B72</f>
        <v>414697</v>
      </c>
      <c r="D81" s="147">
        <f>'KB27'!C72</f>
        <v>414597</v>
      </c>
      <c r="E81" s="147">
        <f>'KB27'!D72</f>
        <v>414697</v>
      </c>
      <c r="F81" s="80">
        <f>SUM('KB27'!E$76:E$77,'KB27'!E$89:E$90)</f>
        <v>0</v>
      </c>
      <c r="G81" s="80">
        <f t="shared" si="4"/>
        <v>530000</v>
      </c>
      <c r="H81" s="80">
        <f>'KB27'!E$83+'KB27'!E$96</f>
        <v>0</v>
      </c>
      <c r="I81" s="143">
        <f>'KB27'!E$102</f>
        <v>530000</v>
      </c>
      <c r="J81" s="80">
        <f>SUM('KB27'!F$76:F$77,'KB27'!F$89:F$90)</f>
        <v>0</v>
      </c>
      <c r="K81" s="80">
        <f t="shared" si="5"/>
        <v>532000</v>
      </c>
      <c r="L81" s="80">
        <f>'KB27'!F$83+'KB27'!F$96</f>
        <v>0</v>
      </c>
      <c r="M81" s="143">
        <f>'KB27'!F$102</f>
        <v>532000</v>
      </c>
      <c r="N81" s="80">
        <f>SUM('KB27'!G$76:G$77,'KB27'!G$89:G$90)</f>
        <v>0</v>
      </c>
      <c r="O81" s="80">
        <f t="shared" si="6"/>
        <v>531408</v>
      </c>
      <c r="P81" s="80">
        <f>'KB27'!G$83+'KB27'!G$96</f>
        <v>0</v>
      </c>
      <c r="Q81" s="143">
        <f>'KB27'!G$102</f>
        <v>531408</v>
      </c>
    </row>
    <row r="82" spans="1:17" s="104" customFormat="1" ht="15" customHeight="1" x14ac:dyDescent="0.2">
      <c r="A82" s="861" t="str">
        <f>'(G1) Fjalori'!A751</f>
        <v>TOTALI I FONDEVE REZERVE + KONTIGJENCË</v>
      </c>
      <c r="B82" s="863"/>
      <c r="C82" s="784"/>
      <c r="D82" s="785"/>
      <c r="E82" s="786"/>
      <c r="F82" s="861"/>
      <c r="G82" s="862"/>
      <c r="H82" s="748"/>
      <c r="I82" s="746">
        <f>'(D1) Tavanet buxhetore'!C494</f>
        <v>23272.001310000007</v>
      </c>
      <c r="J82" s="861"/>
      <c r="K82" s="862"/>
      <c r="L82" s="748"/>
      <c r="M82" s="746">
        <f>'(D1) Tavanet buxhetore'!D494</f>
        <v>23914.264310000006</v>
      </c>
      <c r="N82" s="861"/>
      <c r="O82" s="862"/>
      <c r="P82" s="748"/>
      <c r="Q82" s="746">
        <f>'(D1) Tavanet buxhetore'!E494</f>
        <v>24755.409310000006</v>
      </c>
    </row>
    <row r="83" spans="1:17" ht="15" customHeight="1" x14ac:dyDescent="0.2">
      <c r="A83" s="1040" t="str">
        <f>'(G1) Fjalori'!A426</f>
        <v>Totali</v>
      </c>
      <c r="B83" s="1040"/>
      <c r="C83" s="237">
        <f>C6+C10+C14+C16+C18+C20+C25+C30+C34+C37+C39+C41+C43+C46+C49+C52+C54+C56+C58+C61+C65+C67+C71+C73+C75+C78+C80+C82</f>
        <v>1521488</v>
      </c>
      <c r="D83" s="237">
        <f t="shared" ref="D83:Q83" si="7">D6+D10+D14+D16+D18+D20+D25+D30+D34+D37+D39+D41+D43+D46+D49+D52+D54+D56+D58+D61+D65+D67+D71+D73+D75+D78+D80+D82</f>
        <v>1715615</v>
      </c>
      <c r="E83" s="237">
        <f t="shared" si="7"/>
        <v>1759743</v>
      </c>
      <c r="F83" s="237">
        <f t="shared" si="7"/>
        <v>519710</v>
      </c>
      <c r="G83" s="237">
        <f t="shared" si="7"/>
        <v>1083034</v>
      </c>
      <c r="H83" s="237">
        <f t="shared" si="7"/>
        <v>134027</v>
      </c>
      <c r="I83" s="237">
        <f t="shared" si="7"/>
        <v>1760043.00131</v>
      </c>
      <c r="J83" s="237">
        <f t="shared" si="7"/>
        <v>514534</v>
      </c>
      <c r="K83" s="237">
        <f t="shared" si="7"/>
        <v>1097654</v>
      </c>
      <c r="L83" s="237">
        <f t="shared" si="7"/>
        <v>146527</v>
      </c>
      <c r="M83" s="237">
        <f t="shared" si="7"/>
        <v>1782629.26431</v>
      </c>
      <c r="N83" s="237">
        <f t="shared" si="7"/>
        <v>523210</v>
      </c>
      <c r="O83" s="237">
        <f t="shared" si="7"/>
        <v>1084442</v>
      </c>
      <c r="P83" s="237">
        <f t="shared" si="7"/>
        <v>179226</v>
      </c>
      <c r="Q83" s="237">
        <f t="shared" si="7"/>
        <v>1811633.40931</v>
      </c>
    </row>
  </sheetData>
  <sheetProtection password="CF05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25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21" t="str">
        <f>'(G1) Fjalori'!A423:A423</f>
        <v>(F3) GRAFIKU I SHPENZIMEVE SIPAS NËNFUNKSIONIT - VLERA BRUTO</v>
      </c>
      <c r="B1" s="921"/>
      <c r="C1" s="921"/>
      <c r="D1" s="921"/>
      <c r="E1" s="921"/>
      <c r="F1" s="921"/>
      <c r="G1" s="921"/>
      <c r="H1" s="921"/>
      <c r="I1" s="921"/>
      <c r="J1" s="921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2019</v>
      </c>
      <c r="E3" s="45">
        <f>'(F2) Shpenzimet sipas nenfunk.b'!D3</f>
        <v>2020</v>
      </c>
      <c r="F3" s="45">
        <f>'(F2) Shpenzimet sipas nenfunk.b'!E3</f>
        <v>2021</v>
      </c>
      <c r="G3" s="1044">
        <f>'(F2) Shpenzimet sipas nenfunk.b'!F3</f>
        <v>2022</v>
      </c>
      <c r="H3" s="1044">
        <f>'(F2) Shpenzimet sipas nenfunk.b'!J3</f>
        <v>2023</v>
      </c>
      <c r="I3" s="1044">
        <f>'(F2) Shpenzimet sipas nenfunk.b'!N3</f>
        <v>2024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44"/>
      <c r="H4" s="1044"/>
      <c r="I4" s="1044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179503</v>
      </c>
      <c r="E6" s="150">
        <f>'(F2) Shpenzimet sipas nenfunk.b'!D6</f>
        <v>179503</v>
      </c>
      <c r="F6" s="150">
        <f>'(F2) Shpenzimet sipas nenfunk.b'!E6</f>
        <v>179503</v>
      </c>
      <c r="G6" s="151">
        <f>'(F2) Shpenzimet sipas nenfunk.b'!I6</f>
        <v>215173</v>
      </c>
      <c r="H6" s="151">
        <f>'(F2) Shpenzimet sipas nenfunk.b'!M6</f>
        <v>216173</v>
      </c>
      <c r="I6" s="151">
        <f>'(F2) Shpenzimet sipas nenfunk.b'!Q6</f>
        <v>216173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0</v>
      </c>
      <c r="E8" s="150">
        <f>'(F2) Shpenzimet sipas nenfunk.b'!D14</f>
        <v>0</v>
      </c>
      <c r="F8" s="150">
        <f>'(F2) Shpenzimet sipas nenfunk.b'!E14</f>
        <v>0</v>
      </c>
      <c r="G8" s="151">
        <f>'(F2) Shpenzimet sipas nenfunk.b'!I14</f>
        <v>7670</v>
      </c>
      <c r="H8" s="151">
        <f>'(F2) Shpenzimet sipas nenfunk.b'!M14</f>
        <v>7670</v>
      </c>
      <c r="I8" s="151">
        <f>'(F2) Shpenzimet sipas nenfunk.b'!Q14</f>
        <v>7670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21298</v>
      </c>
      <c r="E9" s="150">
        <f>'(F2) Shpenzimet sipas nenfunk.b'!D16</f>
        <v>21298</v>
      </c>
      <c r="F9" s="150">
        <f>'(F2) Shpenzimet sipas nenfunk.b'!E16</f>
        <v>21298</v>
      </c>
      <c r="G9" s="151">
        <f>'(F2) Shpenzimet sipas nenfunk.b'!I16</f>
        <v>31430</v>
      </c>
      <c r="H9" s="151">
        <f>'(F2) Shpenzimet sipas nenfunk.b'!M16</f>
        <v>31430</v>
      </c>
      <c r="I9" s="151">
        <f>'(F2) Shpenzimet sipas nenfunk.b'!Q16</f>
        <v>31430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1631</v>
      </c>
      <c r="H11" s="151">
        <f>'(F2) Shpenzimet sipas nenfunk.b'!M20</f>
        <v>1631</v>
      </c>
      <c r="I11" s="151">
        <f>'(F2) Shpenzimet sipas nenfunk.b'!Q20</f>
        <v>1631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22382</v>
      </c>
      <c r="E12" s="150">
        <f>'(F2) Shpenzimet sipas nenfunk.b'!D25</f>
        <v>22382</v>
      </c>
      <c r="F12" s="150">
        <f>'(F2) Shpenzimet sipas nenfunk.b'!E25</f>
        <v>22382</v>
      </c>
      <c r="G12" s="151">
        <f>'(F2) Shpenzimet sipas nenfunk.b'!I25</f>
        <v>17402</v>
      </c>
      <c r="H12" s="151">
        <f>'(F2) Shpenzimet sipas nenfunk.b'!M25</f>
        <v>20402</v>
      </c>
      <c r="I12" s="151">
        <f>'(F2) Shpenzimet sipas nenfunk.b'!Q25</f>
        <v>17402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31582</v>
      </c>
      <c r="E13" s="150">
        <f>'(F2) Shpenzimet sipas nenfunk.b'!D30</f>
        <v>31582</v>
      </c>
      <c r="F13" s="150">
        <f>'(F2) Shpenzimet sipas nenfunk.b'!E30</f>
        <v>31582</v>
      </c>
      <c r="G13" s="151">
        <f>'(F2) Shpenzimet sipas nenfunk.b'!I30</f>
        <v>88487</v>
      </c>
      <c r="H13" s="151">
        <f>'(F2) Shpenzimet sipas nenfunk.b'!M30</f>
        <v>98487</v>
      </c>
      <c r="I13" s="151">
        <f>'(F2) Shpenzimet sipas nenfunk.b'!Q30</f>
        <v>128486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0</v>
      </c>
      <c r="E15" s="150">
        <f>'(F2) Shpenzimet sipas nenfunk.b'!D37</f>
        <v>0</v>
      </c>
      <c r="F15" s="150">
        <f>'(F2) Shpenzimet sipas nenfunk.b'!E37</f>
        <v>0</v>
      </c>
      <c r="G15" s="151">
        <f>'(F2) Shpenzimet sipas nenfunk.b'!I37</f>
        <v>23610</v>
      </c>
      <c r="H15" s="151">
        <f>'(F2) Shpenzimet sipas nenfunk.b'!M37</f>
        <v>24610</v>
      </c>
      <c r="I15" s="151">
        <f>'(F2) Shpenzimet sipas nenfunk.b'!Q37</f>
        <v>24110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0</v>
      </c>
      <c r="H16" s="151">
        <f>'(F2) Shpenzimet sipas nenfunk.b'!M39</f>
        <v>0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151291</v>
      </c>
      <c r="E20" s="150">
        <f>'(F2) Shpenzimet sipas nenfunk.b'!D49</f>
        <v>151291</v>
      </c>
      <c r="F20" s="150">
        <f>'(F2) Shpenzimet sipas nenfunk.b'!E49</f>
        <v>151291</v>
      </c>
      <c r="G20" s="151">
        <f>'(F2) Shpenzimet sipas nenfunk.b'!I49</f>
        <v>165101</v>
      </c>
      <c r="H20" s="151">
        <f>'(F2) Shpenzimet sipas nenfunk.b'!M49</f>
        <v>165101</v>
      </c>
      <c r="I20" s="151">
        <f>'(F2) Shpenzimet sipas nenfunk.b'!Q49</f>
        <v>171101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0</v>
      </c>
      <c r="E21" s="150">
        <f>'(F2) Shpenzimet sipas nenfunk.b'!D52</f>
        <v>0</v>
      </c>
      <c r="F21" s="150">
        <f>'(F2) Shpenzimet sipas nenfunk.b'!E52</f>
        <v>0</v>
      </c>
      <c r="G21" s="151">
        <f>'(F2) Shpenzimet sipas nenfunk.b'!I52</f>
        <v>0</v>
      </c>
      <c r="H21" s="151">
        <f>'(F2) Shpenzimet sipas nenfunk.b'!M52</f>
        <v>0</v>
      </c>
      <c r="I21" s="151">
        <f>'(F2) Shpenzimet sipas nenfunk.b'!Q52</f>
        <v>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 xml:space="preserve">                               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11970</v>
      </c>
      <c r="H22" s="151">
        <f>'(F2) Shpenzimet sipas nenfunk.b'!M54</f>
        <v>13970</v>
      </c>
      <c r="I22" s="151">
        <f>'(F2) Shpenzimet sipas nenfunk.b'!Q54</f>
        <v>13170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24530</v>
      </c>
      <c r="H23" s="151">
        <f>'(F2) Shpenzimet sipas nenfunk.b'!M56</f>
        <v>24530</v>
      </c>
      <c r="I23" s="151">
        <f>'(F2) Shpenzimet sipas nenfunk.b'!Q56</f>
        <v>24530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14002</v>
      </c>
      <c r="E24" s="150">
        <f>'(F2) Shpenzimet sipas nenfunk.b'!D58</f>
        <v>14002</v>
      </c>
      <c r="F24" s="150">
        <f>'(F2) Shpenzimet sipas nenfunk.b'!E58</f>
        <v>14002</v>
      </c>
      <c r="G24" s="151">
        <f>'(F2) Shpenzimet sipas nenfunk.b'!I58</f>
        <v>28076</v>
      </c>
      <c r="H24" s="151">
        <f>'(F2) Shpenzimet sipas nenfunk.b'!M58</f>
        <v>28076</v>
      </c>
      <c r="I24" s="151">
        <f>'(F2) Shpenzimet sipas nenfunk.b'!Q58</f>
        <v>28076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15896</v>
      </c>
      <c r="E25" s="150">
        <f>'(F2) Shpenzimet sipas nenfunk.b'!D61</f>
        <v>15896</v>
      </c>
      <c r="F25" s="150">
        <f>'(F2) Shpenzimet sipas nenfunk.b'!E61</f>
        <v>15896</v>
      </c>
      <c r="G25" s="151">
        <f>'(F2) Shpenzimet sipas nenfunk.b'!I61</f>
        <v>26110</v>
      </c>
      <c r="H25" s="151">
        <f>'(F2) Shpenzimet sipas nenfunk.b'!M61</f>
        <v>26110</v>
      </c>
      <c r="I25" s="151">
        <f>'(F2) Shpenzimet sipas nenfunk.b'!Q61</f>
        <v>26110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136432</v>
      </c>
      <c r="E26" s="150">
        <f>'(F2) Shpenzimet sipas nenfunk.b'!D65</f>
        <v>136432</v>
      </c>
      <c r="F26" s="150">
        <f>'(F2) Shpenzimet sipas nenfunk.b'!E65</f>
        <v>136432</v>
      </c>
      <c r="G26" s="151">
        <f>'(F2) Shpenzimet sipas nenfunk.b'!I65</f>
        <v>157605</v>
      </c>
      <c r="H26" s="151">
        <f>'(F2) Shpenzimet sipas nenfunk.b'!M65</f>
        <v>157605</v>
      </c>
      <c r="I26" s="151">
        <f>'(F2) Shpenzimet sipas nenfunk.b'!Q65</f>
        <v>157605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30860</v>
      </c>
      <c r="E27" s="150">
        <f>'(F2) Shpenzimet sipas nenfunk.b'!D67</f>
        <v>30860</v>
      </c>
      <c r="F27" s="150">
        <f>'(F2) Shpenzimet sipas nenfunk.b'!E67</f>
        <v>30860</v>
      </c>
      <c r="G27" s="151">
        <f>'(F2) Shpenzimet sipas nenfunk.b'!I67</f>
        <v>47632</v>
      </c>
      <c r="H27" s="151">
        <f>'(F2) Shpenzimet sipas nenfunk.b'!M67</f>
        <v>47632</v>
      </c>
      <c r="I27" s="151">
        <f>'(F2) Shpenzimet sipas nenfunk.b'!Q67</f>
        <v>47632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360479</v>
      </c>
      <c r="E28" s="150">
        <f>'(F2) Shpenzimet sipas nenfunk.b'!D71</f>
        <v>554706</v>
      </c>
      <c r="F28" s="150">
        <f>'(F2) Shpenzimet sipas nenfunk.b'!E71</f>
        <v>598734</v>
      </c>
      <c r="G28" s="151">
        <f>'(F2) Shpenzimet sipas nenfunk.b'!I71</f>
        <v>340244</v>
      </c>
      <c r="H28" s="151">
        <f>'(F2) Shpenzimet sipas nenfunk.b'!M71</f>
        <v>343244</v>
      </c>
      <c r="I28" s="151">
        <f>'(F2) Shpenzimet sipas nenfunk.b'!Q71</f>
        <v>340244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143066</v>
      </c>
      <c r="E30" s="150">
        <f>'(F2) Shpenzimet sipas nenfunk.b'!D75</f>
        <v>143066</v>
      </c>
      <c r="F30" s="150">
        <f>'(F2) Shpenzimet sipas nenfunk.b'!E75</f>
        <v>143066</v>
      </c>
      <c r="G30" s="151">
        <f>'(F2) Shpenzimet sipas nenfunk.b'!I75</f>
        <v>20100</v>
      </c>
      <c r="H30" s="151">
        <f>'(F2) Shpenzimet sipas nenfunk.b'!M75</f>
        <v>20044</v>
      </c>
      <c r="I30" s="151">
        <f>'(F2) Shpenzimet sipas nenfunk.b'!Q75</f>
        <v>20100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414697</v>
      </c>
      <c r="E32" s="150">
        <f>'(F2) Shpenzimet sipas nenfunk.b'!D80</f>
        <v>414597</v>
      </c>
      <c r="F32" s="150">
        <f>'(F2) Shpenzimet sipas nenfunk.b'!E80</f>
        <v>414697</v>
      </c>
      <c r="G32" s="151">
        <f>'(F2) Shpenzimet sipas nenfunk.b'!I80</f>
        <v>530000</v>
      </c>
      <c r="H32" s="151">
        <f>'(F2) Shpenzimet sipas nenfunk.b'!M80</f>
        <v>532000</v>
      </c>
      <c r="I32" s="151">
        <f>'(F2) Shpenzimet sipas nenfunk.b'!Q80</f>
        <v>531408</v>
      </c>
    </row>
    <row r="33" spans="2:9" ht="13.5" customHeight="1" x14ac:dyDescent="0.2">
      <c r="B33" s="1045" t="s">
        <v>44</v>
      </c>
      <c r="C33" s="1046"/>
      <c r="D33" s="152">
        <f t="shared" ref="D33:I33" si="0">SUM(D6:D32)</f>
        <v>1521488</v>
      </c>
      <c r="E33" s="152">
        <f t="shared" si="0"/>
        <v>1715615</v>
      </c>
      <c r="F33" s="152">
        <f t="shared" si="0"/>
        <v>1759743</v>
      </c>
      <c r="G33" s="152">
        <f t="shared" si="0"/>
        <v>1736771</v>
      </c>
      <c r="H33" s="152">
        <f t="shared" si="0"/>
        <v>1758715</v>
      </c>
      <c r="I33" s="152">
        <f t="shared" si="0"/>
        <v>1786878</v>
      </c>
    </row>
  </sheetData>
  <sheetProtection algorithmName="SHA-512" hashValue="CXwd+reNCDbYBGKTgG6eBQPD0tXuRABjSF01abL6qyfv7dEQ8rGByN4Ze7jLX2kxmmgbYI8Inj6lV6U5JnC+1Q==" saltValue="kAzperInAXgbDpYomL0yt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zoomScale="124" zoomScaleNormal="124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89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51" t="str">
        <f>'(G1) Fjalori'!A425</f>
        <v>(F4) SHPENZIMET SIPAS NËNFUNKSIONIT DHE PROGRAMIT - VLERA NETO</v>
      </c>
      <c r="B1" s="1052"/>
      <c r="C1" s="1052"/>
      <c r="D1" s="1052"/>
      <c r="E1" s="1052"/>
      <c r="F1" s="1052"/>
      <c r="G1" s="1052"/>
      <c r="H1" s="1052"/>
      <c r="I1" s="1052"/>
      <c r="J1" s="1052"/>
      <c r="K1" s="1052"/>
      <c r="L1" s="1052"/>
      <c r="M1" s="1052"/>
      <c r="N1" s="1052"/>
      <c r="O1" s="1052"/>
      <c r="P1" s="1052"/>
      <c r="Q1" s="1052"/>
      <c r="R1" s="1052"/>
      <c r="S1" s="1052"/>
      <c r="T1" s="1052"/>
      <c r="U1" s="1052"/>
      <c r="V1" s="1052"/>
      <c r="W1" s="1052"/>
      <c r="X1" s="1052"/>
      <c r="Y1" s="1052"/>
      <c r="Z1" s="1053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56">
        <f>'(F2) Shpenzimet sipas nenfunk.b'!C3</f>
        <v>2019</v>
      </c>
      <c r="D3" s="1057"/>
      <c r="E3" s="1057"/>
      <c r="F3" s="1057"/>
      <c r="G3" s="1055">
        <f>'(B1)Informacion i përgjithshëm '!B6</f>
        <v>2020</v>
      </c>
      <c r="H3" s="1055"/>
      <c r="I3" s="1055"/>
      <c r="J3" s="1056"/>
      <c r="K3" s="1055">
        <f>'(B1)Informacion i përgjithshëm '!B7</f>
        <v>2021</v>
      </c>
      <c r="L3" s="1055"/>
      <c r="M3" s="1055"/>
      <c r="N3" s="1055"/>
      <c r="O3" s="1044">
        <f>'(B1)Informacion i përgjithshëm '!B8</f>
        <v>2022</v>
      </c>
      <c r="P3" s="1044"/>
      <c r="Q3" s="1044"/>
      <c r="R3" s="1044"/>
      <c r="S3" s="1054">
        <f>'(B1)Informacion i përgjithshëm '!B9</f>
        <v>2023</v>
      </c>
      <c r="T3" s="1044"/>
      <c r="U3" s="1044"/>
      <c r="V3" s="1044"/>
      <c r="W3" s="1054">
        <f>'(B1)Informacion i përgjithshëm '!B10</f>
        <v>2024</v>
      </c>
      <c r="X3" s="1044"/>
      <c r="Y3" s="1044"/>
      <c r="Z3" s="1044"/>
    </row>
    <row r="4" spans="1:26" s="47" customFormat="1" ht="23.25" customHeight="1" x14ac:dyDescent="0.25">
      <c r="A4" s="46"/>
      <c r="B4" s="790"/>
      <c r="C4" s="1048" t="str">
        <f>'(F2) Shpenzimet sipas nenfunk.b'!C4</f>
        <v>Viti t-2</v>
      </c>
      <c r="D4" s="1058"/>
      <c r="E4" s="1058"/>
      <c r="F4" s="1058"/>
      <c r="G4" s="1047" t="str">
        <f>'(G1) Fjalori'!A549</f>
        <v>Viti i shkuar</v>
      </c>
      <c r="H4" s="1047"/>
      <c r="I4" s="1047"/>
      <c r="J4" s="1048"/>
      <c r="K4" s="1047" t="str">
        <f>'(G1) Fjalori'!A550</f>
        <v>Viti aktual (buxheti)</v>
      </c>
      <c r="L4" s="1047"/>
      <c r="M4" s="1047"/>
      <c r="N4" s="1047"/>
      <c r="O4" s="1044"/>
      <c r="P4" s="1044"/>
      <c r="Q4" s="1044"/>
      <c r="R4" s="1044"/>
      <c r="S4" s="1054"/>
      <c r="T4" s="1044"/>
      <c r="U4" s="1044"/>
      <c r="V4" s="1044"/>
      <c r="W4" s="1054"/>
      <c r="X4" s="1044"/>
      <c r="Y4" s="1044"/>
      <c r="Z4" s="1044"/>
    </row>
    <row r="5" spans="1:26" s="107" customFormat="1" ht="120" x14ac:dyDescent="0.25">
      <c r="A5" s="106"/>
      <c r="B5" s="790"/>
      <c r="C5" s="764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5" t="str">
        <f>'KB27'!I34</f>
        <v>SHUMA E KËRKUAR NETO</v>
      </c>
      <c r="G5" s="764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5" t="str">
        <f>F5</f>
        <v>SHUMA E KËRKUAR NETO</v>
      </c>
      <c r="K5" s="764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8" t="str">
        <f>J5</f>
        <v>SHUMA E KËRKUAR NETO</v>
      </c>
      <c r="O5" s="764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8" t="str">
        <f>N5</f>
        <v>SHUMA E KËRKUAR NETO</v>
      </c>
      <c r="S5" s="763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8" t="str">
        <f>R5</f>
        <v>SHUMA E KËRKUAR NETO</v>
      </c>
      <c r="W5" s="763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8" t="str">
        <f>V5</f>
        <v>SHUMA E KËRKUAR NETO</v>
      </c>
    </row>
    <row r="6" spans="1:26" ht="15" customHeight="1" x14ac:dyDescent="0.2">
      <c r="A6" s="730" t="str">
        <f>'(F2) Shpenzimet sipas nenfunk.b'!A6</f>
        <v>Nënfunksioni 1</v>
      </c>
      <c r="B6" s="757" t="str">
        <f>'(F2) Shpenzimet sipas nenfunk.b'!B6</f>
        <v>011 Organet ekzekutive dhe legjislative, për çështjet financiare dhe fiskale, çështjet e brendshme</v>
      </c>
      <c r="C6" s="759">
        <f>'(F2) Shpenzimet sipas nenfunk.b'!C6</f>
        <v>179503</v>
      </c>
      <c r="D6" s="740">
        <f>'KB 01'!J$19</f>
        <v>37243</v>
      </c>
      <c r="E6" s="740">
        <f>'KB 01'!J$27</f>
        <v>0</v>
      </c>
      <c r="F6" s="760">
        <f>C6-D6-E6</f>
        <v>142260</v>
      </c>
      <c r="G6" s="759">
        <f>'(F2) Shpenzimet sipas nenfunk.b'!D6</f>
        <v>179503</v>
      </c>
      <c r="H6" s="740">
        <f>'KB 01'!K$19</f>
        <v>37243</v>
      </c>
      <c r="I6" s="740">
        <f>'KB 01'!K$27</f>
        <v>120000</v>
      </c>
      <c r="J6" s="760">
        <f>G6-H6-I6</f>
        <v>22260</v>
      </c>
      <c r="K6" s="759">
        <f>'(F2) Shpenzimet sipas nenfunk.b'!E6</f>
        <v>179503</v>
      </c>
      <c r="L6" s="740">
        <f>'KB 01'!L$19</f>
        <v>37243</v>
      </c>
      <c r="M6" s="740">
        <f>'KB 01'!L$27</f>
        <v>120000</v>
      </c>
      <c r="N6" s="760">
        <f>K6-L6-M6</f>
        <v>22260</v>
      </c>
      <c r="O6" s="759">
        <f>'(F2) Shpenzimet sipas nenfunk.b'!I6</f>
        <v>215173</v>
      </c>
      <c r="P6" s="740">
        <f>'KB 01'!M$19</f>
        <v>0</v>
      </c>
      <c r="Q6" s="740">
        <f>'KB 01'!M$27</f>
        <v>0</v>
      </c>
      <c r="R6" s="760">
        <f>O6-P6-Q6</f>
        <v>215173</v>
      </c>
      <c r="S6" s="759">
        <f>'(F2) Shpenzimet sipas nenfunk.b'!M6</f>
        <v>216173</v>
      </c>
      <c r="T6" s="740">
        <f>'KB 01'!N$19</f>
        <v>0</v>
      </c>
      <c r="U6" s="740">
        <f>'KB 01'!N$27</f>
        <v>0</v>
      </c>
      <c r="V6" s="760">
        <f>S6-T6-U6</f>
        <v>216173</v>
      </c>
      <c r="W6" s="759">
        <f>'(F2) Shpenzimet sipas nenfunk.b'!Q6</f>
        <v>216173</v>
      </c>
      <c r="X6" s="740">
        <f>'KB 01'!O$19</f>
        <v>0</v>
      </c>
      <c r="Y6" s="740">
        <f>'KB 01'!O$27</f>
        <v>0</v>
      </c>
      <c r="Z6" s="760">
        <f>W6-X6-Y6</f>
        <v>216173</v>
      </c>
    </row>
    <row r="7" spans="1:26" s="104" customFormat="1" ht="15" customHeight="1" x14ac:dyDescent="0.2">
      <c r="A7" s="731" t="str">
        <f>'(F2) Shpenzimet sipas nenfunk.b'!A7</f>
        <v>01110</v>
      </c>
      <c r="B7" s="788" t="str">
        <f>'(F2) Shpenzimet sipas nenfunk.b'!B7</f>
        <v>Planifikimi Menaxhimi dhe Administrimi</v>
      </c>
      <c r="C7" s="761">
        <f>'(F2) Shpenzimet sipas nenfunk.b'!C7</f>
        <v>169472</v>
      </c>
      <c r="D7" s="153">
        <f>'KB 01'!J73</f>
        <v>37243</v>
      </c>
      <c r="E7" s="153">
        <f>'KB 01'!J80</f>
        <v>0</v>
      </c>
      <c r="F7" s="762">
        <f t="shared" ref="F7:F9" si="0">C7-D7-E7</f>
        <v>132229</v>
      </c>
      <c r="G7" s="761">
        <f>'(F2) Shpenzimet sipas nenfunk.b'!D7</f>
        <v>169472</v>
      </c>
      <c r="H7" s="153">
        <f>'KB 01'!K73</f>
        <v>37243</v>
      </c>
      <c r="I7" s="153">
        <f>'KB 01'!K80</f>
        <v>120000</v>
      </c>
      <c r="J7" s="762">
        <f t="shared" ref="J7:J9" si="1">G7-H7-I7</f>
        <v>12229</v>
      </c>
      <c r="K7" s="761">
        <f>'(F2) Shpenzimet sipas nenfunk.b'!E7</f>
        <v>169472</v>
      </c>
      <c r="L7" s="153">
        <f>'KB 01'!L73</f>
        <v>37243</v>
      </c>
      <c r="M7" s="153">
        <f>'KB 01'!L80</f>
        <v>120000</v>
      </c>
      <c r="N7" s="762">
        <f t="shared" ref="N7:N9" si="2">K7-L7-M7</f>
        <v>12229</v>
      </c>
      <c r="O7" s="761">
        <f>'(F2) Shpenzimet sipas nenfunk.b'!I7</f>
        <v>197903</v>
      </c>
      <c r="P7" s="153">
        <f>'KB 01'!M73</f>
        <v>0</v>
      </c>
      <c r="Q7" s="153">
        <f>'KB 01'!M80</f>
        <v>0</v>
      </c>
      <c r="R7" s="762">
        <f t="shared" ref="R7:R9" si="3">O7-P7-Q7</f>
        <v>197903</v>
      </c>
      <c r="S7" s="761">
        <f>'(F2) Shpenzimet sipas nenfunk.b'!M7</f>
        <v>198903</v>
      </c>
      <c r="T7" s="153">
        <f>'KB 01'!N73</f>
        <v>0</v>
      </c>
      <c r="U7" s="153">
        <f>'KB 01'!N80</f>
        <v>0</v>
      </c>
      <c r="V7" s="762">
        <f t="shared" ref="V7:V9" si="4">S7-T7-U7</f>
        <v>198903</v>
      </c>
      <c r="W7" s="761">
        <f>'(F2) Shpenzimet sipas nenfunk.b'!Q7</f>
        <v>198903</v>
      </c>
      <c r="X7" s="153">
        <f>'KB 01'!O73</f>
        <v>0</v>
      </c>
      <c r="Y7" s="153">
        <f>'KB 01'!O80</f>
        <v>0</v>
      </c>
      <c r="Z7" s="762">
        <f>W7-X7-Y7</f>
        <v>198903</v>
      </c>
    </row>
    <row r="8" spans="1:26" s="104" customFormat="1" ht="15" customHeight="1" x14ac:dyDescent="0.2">
      <c r="A8" s="731" t="str">
        <f>'(F2) Shpenzimet sipas nenfunk.b'!A8</f>
        <v>01120</v>
      </c>
      <c r="B8" s="788" t="str">
        <f>'(F2) Shpenzimet sipas nenfunk.b'!B8</f>
        <v>Çështje financiare dhe fiskale</v>
      </c>
      <c r="C8" s="761">
        <f>'(F2) Shpenzimet sipas nenfunk.b'!C8</f>
        <v>0</v>
      </c>
      <c r="D8" s="153">
        <f>'KB 01'!J112</f>
        <v>0</v>
      </c>
      <c r="E8" s="153">
        <f>'KB 01'!J119</f>
        <v>0</v>
      </c>
      <c r="F8" s="762">
        <f t="shared" si="0"/>
        <v>0</v>
      </c>
      <c r="G8" s="761">
        <f>'(F2) Shpenzimet sipas nenfunk.b'!D8</f>
        <v>0</v>
      </c>
      <c r="H8" s="153">
        <f>'KB 01'!K112</f>
        <v>0</v>
      </c>
      <c r="I8" s="153">
        <f>'KB 01'!K119</f>
        <v>0</v>
      </c>
      <c r="J8" s="762">
        <f t="shared" si="1"/>
        <v>0</v>
      </c>
      <c r="K8" s="761">
        <f>'(F2) Shpenzimet sipas nenfunk.b'!E8</f>
        <v>0</v>
      </c>
      <c r="L8" s="153">
        <f>'KB 01'!L112</f>
        <v>0</v>
      </c>
      <c r="M8" s="153">
        <f>'KB 01'!L119</f>
        <v>0</v>
      </c>
      <c r="N8" s="762">
        <f t="shared" si="2"/>
        <v>0</v>
      </c>
      <c r="O8" s="761">
        <f>'(F2) Shpenzimet sipas nenfunk.b'!I8</f>
        <v>7270</v>
      </c>
      <c r="P8" s="153">
        <f>'KB 01'!M112</f>
        <v>0</v>
      </c>
      <c r="Q8" s="153">
        <f>'KB 01'!M119</f>
        <v>0</v>
      </c>
      <c r="R8" s="762">
        <f t="shared" si="3"/>
        <v>7270</v>
      </c>
      <c r="S8" s="761">
        <f>'(F2) Shpenzimet sipas nenfunk.b'!M8</f>
        <v>7270</v>
      </c>
      <c r="T8" s="153">
        <f>'KB 01'!N112</f>
        <v>0</v>
      </c>
      <c r="U8" s="153">
        <f>'KB 01'!N119</f>
        <v>0</v>
      </c>
      <c r="V8" s="762">
        <f t="shared" si="4"/>
        <v>7270</v>
      </c>
      <c r="W8" s="761">
        <f>'(F2) Shpenzimet sipas nenfunk.b'!Q8</f>
        <v>7270</v>
      </c>
      <c r="X8" s="153">
        <f>'KB 01'!O112</f>
        <v>0</v>
      </c>
      <c r="Y8" s="153">
        <f>'KB 01'!O119</f>
        <v>0</v>
      </c>
      <c r="Z8" s="762">
        <f t="shared" ref="Z8:Z9" si="5">W8-X8-Y8</f>
        <v>7270</v>
      </c>
    </row>
    <row r="9" spans="1:26" s="104" customFormat="1" ht="15" customHeight="1" x14ac:dyDescent="0.2">
      <c r="A9" s="731" t="str">
        <f>'(F2) Shpenzimet sipas nenfunk.b'!A9</f>
        <v>01170</v>
      </c>
      <c r="B9" s="788" t="str">
        <f>'(F2) Shpenzimet sipas nenfunk.b'!B9</f>
        <v>Gjendja civile</v>
      </c>
      <c r="C9" s="761">
        <f>'(F2) Shpenzimet sipas nenfunk.b'!C9</f>
        <v>10031</v>
      </c>
      <c r="D9" s="153">
        <f>'KB 01'!J190</f>
        <v>0</v>
      </c>
      <c r="E9" s="153">
        <f>'KB 01'!J197</f>
        <v>0</v>
      </c>
      <c r="F9" s="762">
        <f t="shared" si="0"/>
        <v>10031</v>
      </c>
      <c r="G9" s="761">
        <f>'(F2) Shpenzimet sipas nenfunk.b'!D9</f>
        <v>10031</v>
      </c>
      <c r="H9" s="153">
        <f>'KB 01'!K190</f>
        <v>0</v>
      </c>
      <c r="I9" s="153">
        <f>'KB 01'!K197</f>
        <v>0</v>
      </c>
      <c r="J9" s="762">
        <f t="shared" si="1"/>
        <v>10031</v>
      </c>
      <c r="K9" s="761">
        <f>'(F2) Shpenzimet sipas nenfunk.b'!E9</f>
        <v>10031</v>
      </c>
      <c r="L9" s="153">
        <f>'KB 01'!L190</f>
        <v>0</v>
      </c>
      <c r="M9" s="153">
        <f>'KB 01'!L197</f>
        <v>0</v>
      </c>
      <c r="N9" s="762">
        <f t="shared" si="2"/>
        <v>10031</v>
      </c>
      <c r="O9" s="761">
        <f>'(F2) Shpenzimet sipas nenfunk.b'!I9</f>
        <v>10000</v>
      </c>
      <c r="P9" s="153">
        <f>'KB 01'!M190</f>
        <v>0</v>
      </c>
      <c r="Q9" s="153">
        <f>'KB 01'!M197</f>
        <v>0</v>
      </c>
      <c r="R9" s="762">
        <f t="shared" si="3"/>
        <v>10000</v>
      </c>
      <c r="S9" s="761">
        <f>'(F2) Shpenzimet sipas nenfunk.b'!M9</f>
        <v>10000</v>
      </c>
      <c r="T9" s="153">
        <f>'KB 01'!N190</f>
        <v>0</v>
      </c>
      <c r="U9" s="153">
        <f>'KB 01'!N197</f>
        <v>0</v>
      </c>
      <c r="V9" s="762">
        <f t="shared" si="4"/>
        <v>10000</v>
      </c>
      <c r="W9" s="761">
        <f>'(F2) Shpenzimet sipas nenfunk.b'!Q9</f>
        <v>10000</v>
      </c>
      <c r="X9" s="153">
        <f>'KB 01'!O190</f>
        <v>0</v>
      </c>
      <c r="Y9" s="153">
        <f>'KB 01'!O197</f>
        <v>0</v>
      </c>
      <c r="Z9" s="762">
        <f t="shared" si="5"/>
        <v>10000</v>
      </c>
    </row>
    <row r="10" spans="1:26" ht="15" customHeight="1" x14ac:dyDescent="0.2">
      <c r="A10" s="730" t="str">
        <f>'(F2) Shpenzimet sipas nenfunk.b'!A10</f>
        <v>Nënfunksioni 2</v>
      </c>
      <c r="B10" s="757" t="str">
        <f>'(F2) Shpenzimet sipas nenfunk.b'!B10</f>
        <v>017 Shërbime të  huamarrjes vendore</v>
      </c>
      <c r="C10" s="759">
        <f>'(F2) Shpenzimet sipas nenfunk.b'!C10</f>
        <v>0</v>
      </c>
      <c r="D10" s="740">
        <f>'KB 02'!J$19</f>
        <v>0</v>
      </c>
      <c r="E10" s="740">
        <f>'KB 02'!J$27</f>
        <v>0</v>
      </c>
      <c r="F10" s="760">
        <f t="shared" ref="F10:F81" si="6">C10-D10-E10</f>
        <v>0</v>
      </c>
      <c r="G10" s="759">
        <f>'(F2) Shpenzimet sipas nenfunk.b'!D10</f>
        <v>0</v>
      </c>
      <c r="H10" s="740">
        <f>'KB 02'!K$19</f>
        <v>0</v>
      </c>
      <c r="I10" s="740">
        <f>'KB 02'!K$27</f>
        <v>0</v>
      </c>
      <c r="J10" s="760">
        <f t="shared" ref="J10:J81" si="7">G10-H10-I10</f>
        <v>0</v>
      </c>
      <c r="K10" s="759">
        <f>'(F2) Shpenzimet sipas nenfunk.b'!E10</f>
        <v>0</v>
      </c>
      <c r="L10" s="740">
        <f>'KB 02'!L$19</f>
        <v>0</v>
      </c>
      <c r="M10" s="740">
        <f>'KB 02'!L$27</f>
        <v>0</v>
      </c>
      <c r="N10" s="760">
        <f t="shared" ref="N10:N81" si="8">K10-L10-M10</f>
        <v>0</v>
      </c>
      <c r="O10" s="759">
        <f>'(F2) Shpenzimet sipas nenfunk.b'!I10</f>
        <v>0</v>
      </c>
      <c r="P10" s="740">
        <f>'KB 02'!M$19</f>
        <v>0</v>
      </c>
      <c r="Q10" s="740">
        <f>'KB 02'!M$27</f>
        <v>0</v>
      </c>
      <c r="R10" s="760">
        <f t="shared" ref="R10:R81" si="9">O10-P10-Q10</f>
        <v>0</v>
      </c>
      <c r="S10" s="759">
        <f>'(F2) Shpenzimet sipas nenfunk.b'!M10</f>
        <v>0</v>
      </c>
      <c r="T10" s="740">
        <f>'KB 02'!N$19</f>
        <v>0</v>
      </c>
      <c r="U10" s="740">
        <f>'KB 02'!N$27</f>
        <v>0</v>
      </c>
      <c r="V10" s="760">
        <f t="shared" ref="V10:V81" si="10">S10-T10-U10</f>
        <v>0</v>
      </c>
      <c r="W10" s="759">
        <f>'(F2) Shpenzimet sipas nenfunk.b'!Q10</f>
        <v>0</v>
      </c>
      <c r="X10" s="740">
        <f>'KB 02'!O$19</f>
        <v>0</v>
      </c>
      <c r="Y10" s="740">
        <f>'KB 02'!O$27</f>
        <v>0</v>
      </c>
      <c r="Z10" s="760">
        <f t="shared" ref="Z10:Z81" si="11">W10-X10-Y10</f>
        <v>0</v>
      </c>
    </row>
    <row r="11" spans="1:26" s="104" customFormat="1" ht="15" hidden="1" customHeight="1" x14ac:dyDescent="0.2">
      <c r="A11" s="731" t="str">
        <f>'(F2) Shpenzimet sipas nenfunk.b'!A11</f>
        <v>01310</v>
      </c>
      <c r="B11" s="788" t="str">
        <f>'(F2) Shpenzimet sipas nenfunk.b'!B11</f>
        <v>Planifikimi i përgjithshëm dhe Shërbimet Statistikore</v>
      </c>
      <c r="C11" s="761">
        <f>'(F2) Shpenzimet sipas nenfunk.b'!C11</f>
        <v>0</v>
      </c>
      <c r="D11" s="153">
        <f>'KB 02'!J73</f>
        <v>0</v>
      </c>
      <c r="E11" s="153">
        <f>'KB 02'!J80</f>
        <v>0</v>
      </c>
      <c r="F11" s="762">
        <f t="shared" si="6"/>
        <v>0</v>
      </c>
      <c r="G11" s="761">
        <f>'(F2) Shpenzimet sipas nenfunk.b'!D11</f>
        <v>0</v>
      </c>
      <c r="H11" s="153">
        <f>'KB 02'!K73</f>
        <v>0</v>
      </c>
      <c r="I11" s="153">
        <f>'KB 02'!K80</f>
        <v>0</v>
      </c>
      <c r="J11" s="762">
        <f t="shared" si="7"/>
        <v>0</v>
      </c>
      <c r="K11" s="761">
        <f>'(F2) Shpenzimet sipas nenfunk.b'!E11</f>
        <v>0</v>
      </c>
      <c r="L11" s="153">
        <f>'KB 02'!L73</f>
        <v>0</v>
      </c>
      <c r="M11" s="153">
        <f>'KB 02'!L80</f>
        <v>0</v>
      </c>
      <c r="N11" s="762">
        <f t="shared" si="8"/>
        <v>0</v>
      </c>
      <c r="O11" s="761">
        <f>'(F2) Shpenzimet sipas nenfunk.b'!I11</f>
        <v>0</v>
      </c>
      <c r="P11" s="153">
        <f>'KB 02'!M73</f>
        <v>0</v>
      </c>
      <c r="Q11" s="153">
        <f>'KB 02'!M80</f>
        <v>0</v>
      </c>
      <c r="R11" s="762">
        <f t="shared" si="9"/>
        <v>0</v>
      </c>
      <c r="S11" s="761">
        <f>'(F2) Shpenzimet sipas nenfunk.b'!M11</f>
        <v>0</v>
      </c>
      <c r="T11" s="153">
        <f>'KB 02'!N73</f>
        <v>0</v>
      </c>
      <c r="U11" s="153">
        <f>'KB 02'!N80</f>
        <v>0</v>
      </c>
      <c r="V11" s="762">
        <f t="shared" si="10"/>
        <v>0</v>
      </c>
      <c r="W11" s="761">
        <f>'(F2) Shpenzimet sipas nenfunk.b'!Q11</f>
        <v>0</v>
      </c>
      <c r="X11" s="153">
        <f>'KB 02'!O73</f>
        <v>0</v>
      </c>
      <c r="Y11" s="153">
        <f>'KB 02'!O80</f>
        <v>0</v>
      </c>
      <c r="Z11" s="762">
        <f t="shared" si="11"/>
        <v>0</v>
      </c>
    </row>
    <row r="12" spans="1:26" s="104" customFormat="1" ht="15" hidden="1" customHeight="1" x14ac:dyDescent="0.2">
      <c r="A12" s="731" t="str">
        <f>'(F2) Shpenzimet sipas nenfunk.b'!A12</f>
        <v>01320</v>
      </c>
      <c r="B12" s="788" t="str">
        <f>'(F2) Shpenzimet sipas nenfunk.b'!B12</f>
        <v>Shërbime të tjera të përgjithshme</v>
      </c>
      <c r="C12" s="761">
        <f>'(F2) Shpenzimet sipas nenfunk.b'!C12</f>
        <v>0</v>
      </c>
      <c r="D12" s="153">
        <f>'KB 02'!J151</f>
        <v>0</v>
      </c>
      <c r="E12" s="153">
        <f>'KB 02'!J158</f>
        <v>0</v>
      </c>
      <c r="F12" s="762">
        <f>C12-D12-E12</f>
        <v>0</v>
      </c>
      <c r="G12" s="761">
        <f>'(F2) Shpenzimet sipas nenfunk.b'!D12</f>
        <v>0</v>
      </c>
      <c r="H12" s="153">
        <f>'KB 02'!K151</f>
        <v>0</v>
      </c>
      <c r="I12" s="153">
        <f>'KB 02'!K158</f>
        <v>0</v>
      </c>
      <c r="J12" s="762">
        <f t="shared" si="7"/>
        <v>0</v>
      </c>
      <c r="K12" s="761">
        <f>'(F2) Shpenzimet sipas nenfunk.b'!E12</f>
        <v>0</v>
      </c>
      <c r="L12" s="153">
        <f>'KB 02'!L151</f>
        <v>0</v>
      </c>
      <c r="M12" s="153">
        <f>'KB 02'!L158</f>
        <v>0</v>
      </c>
      <c r="N12" s="762">
        <f t="shared" si="8"/>
        <v>0</v>
      </c>
      <c r="O12" s="761">
        <f>'(F2) Shpenzimet sipas nenfunk.b'!I12</f>
        <v>0</v>
      </c>
      <c r="P12" s="153">
        <f>'KB 02'!M151</f>
        <v>0</v>
      </c>
      <c r="Q12" s="153">
        <f>'KB 02'!M158</f>
        <v>0</v>
      </c>
      <c r="R12" s="762">
        <f t="shared" si="9"/>
        <v>0</v>
      </c>
      <c r="S12" s="761">
        <f>'(F2) Shpenzimet sipas nenfunk.b'!M12</f>
        <v>0</v>
      </c>
      <c r="T12" s="153">
        <f>'KB 02'!N151</f>
        <v>0</v>
      </c>
      <c r="U12" s="153">
        <f>'KB 02'!N158</f>
        <v>0</v>
      </c>
      <c r="V12" s="762">
        <f t="shared" si="10"/>
        <v>0</v>
      </c>
      <c r="W12" s="761">
        <f>'(F2) Shpenzimet sipas nenfunk.b'!Q12</f>
        <v>0</v>
      </c>
      <c r="X12" s="153">
        <f>'KB 02'!O151</f>
        <v>0</v>
      </c>
      <c r="Y12" s="153">
        <f>'KB 02'!O158</f>
        <v>0</v>
      </c>
      <c r="Z12" s="762">
        <f t="shared" si="11"/>
        <v>0</v>
      </c>
    </row>
    <row r="13" spans="1:26" s="104" customFormat="1" ht="15" customHeight="1" x14ac:dyDescent="0.2">
      <c r="A13" s="731" t="str">
        <f>'(F2) Shpenzimet sipas nenfunk.b'!A13</f>
        <v>01710</v>
      </c>
      <c r="B13" s="788" t="str">
        <f>'(F2) Shpenzimet sipas nenfunk.b'!B13</f>
        <v>Pagesa për shërbimin e borxhit të brendshëm</v>
      </c>
      <c r="C13" s="761">
        <f>'(F2) Shpenzimet sipas nenfunk.b'!C13</f>
        <v>0</v>
      </c>
      <c r="D13" s="153">
        <f>'KB 02'!J190</f>
        <v>0</v>
      </c>
      <c r="E13" s="153">
        <f>'KB 02'!J197</f>
        <v>0</v>
      </c>
      <c r="F13" s="762">
        <f t="shared" si="6"/>
        <v>0</v>
      </c>
      <c r="G13" s="761">
        <f>'(F2) Shpenzimet sipas nenfunk.b'!D13</f>
        <v>0</v>
      </c>
      <c r="H13" s="153">
        <f>'KB 02'!K190</f>
        <v>0</v>
      </c>
      <c r="I13" s="153">
        <f>'KB 02'!K197</f>
        <v>0</v>
      </c>
      <c r="J13" s="762">
        <f t="shared" si="7"/>
        <v>0</v>
      </c>
      <c r="K13" s="761">
        <f>'(F2) Shpenzimet sipas nenfunk.b'!E13</f>
        <v>0</v>
      </c>
      <c r="L13" s="153">
        <f>'KB 02'!L190</f>
        <v>0</v>
      </c>
      <c r="M13" s="153">
        <f>'KB 02'!L197</f>
        <v>0</v>
      </c>
      <c r="N13" s="762">
        <f t="shared" si="8"/>
        <v>0</v>
      </c>
      <c r="O13" s="761">
        <f>'(F2) Shpenzimet sipas nenfunk.b'!I13</f>
        <v>0</v>
      </c>
      <c r="P13" s="153">
        <f>'KB 02'!M190</f>
        <v>0</v>
      </c>
      <c r="Q13" s="153">
        <f>'KB 02'!M197</f>
        <v>0</v>
      </c>
      <c r="R13" s="762">
        <f t="shared" si="9"/>
        <v>0</v>
      </c>
      <c r="S13" s="761">
        <f>'(F2) Shpenzimet sipas nenfunk.b'!M13</f>
        <v>0</v>
      </c>
      <c r="T13" s="153">
        <f>'KB 02'!N190</f>
        <v>0</v>
      </c>
      <c r="U13" s="153">
        <f>'KB 02'!N197</f>
        <v>0</v>
      </c>
      <c r="V13" s="762">
        <f t="shared" si="10"/>
        <v>0</v>
      </c>
      <c r="W13" s="761">
        <f>'(F2) Shpenzimet sipas nenfunk.b'!Q13</f>
        <v>0</v>
      </c>
      <c r="X13" s="153">
        <f>'KB 02'!O190</f>
        <v>0</v>
      </c>
      <c r="Y13" s="153">
        <f>'KB 02'!O197</f>
        <v>0</v>
      </c>
      <c r="Z13" s="762">
        <f t="shared" si="11"/>
        <v>0</v>
      </c>
    </row>
    <row r="14" spans="1:26" ht="15" customHeight="1" x14ac:dyDescent="0.2">
      <c r="A14" s="730" t="str">
        <f>'(F2) Shpenzimet sipas nenfunk.b'!A14</f>
        <v>Nënfunksioni 3</v>
      </c>
      <c r="B14" s="757" t="str">
        <f>'(F2) Shpenzimet sipas nenfunk.b'!B14</f>
        <v>031 Shërbimet Policore</v>
      </c>
      <c r="C14" s="759">
        <f>'(F2) Shpenzimet sipas nenfunk.b'!C14</f>
        <v>0</v>
      </c>
      <c r="D14" s="740">
        <f>'KB 03'!J$19</f>
        <v>0</v>
      </c>
      <c r="E14" s="740">
        <f>'KB 03'!J$27</f>
        <v>0</v>
      </c>
      <c r="F14" s="760">
        <f t="shared" si="6"/>
        <v>0</v>
      </c>
      <c r="G14" s="759">
        <f>'(F2) Shpenzimet sipas nenfunk.b'!D14</f>
        <v>0</v>
      </c>
      <c r="H14" s="740">
        <f>'KB 03'!K$19</f>
        <v>0</v>
      </c>
      <c r="I14" s="740">
        <f>'KB 03'!K$27</f>
        <v>0</v>
      </c>
      <c r="J14" s="760">
        <f t="shared" si="7"/>
        <v>0</v>
      </c>
      <c r="K14" s="759">
        <f>'(F2) Shpenzimet sipas nenfunk.b'!E14</f>
        <v>0</v>
      </c>
      <c r="L14" s="740">
        <f>'KB 03'!L$19</f>
        <v>0</v>
      </c>
      <c r="M14" s="740">
        <f>'KB 03'!L$27</f>
        <v>0</v>
      </c>
      <c r="N14" s="760">
        <f t="shared" si="8"/>
        <v>0</v>
      </c>
      <c r="O14" s="759">
        <f>'(F2) Shpenzimet sipas nenfunk.b'!I14</f>
        <v>7670</v>
      </c>
      <c r="P14" s="740">
        <f>'KB 03'!M$19</f>
        <v>0</v>
      </c>
      <c r="Q14" s="740">
        <f>'KB 03'!M$27</f>
        <v>0</v>
      </c>
      <c r="R14" s="760">
        <f t="shared" si="9"/>
        <v>7670</v>
      </c>
      <c r="S14" s="759">
        <f>'(F2) Shpenzimet sipas nenfunk.b'!M14</f>
        <v>7670</v>
      </c>
      <c r="T14" s="740">
        <f>'KB 03'!N$19</f>
        <v>0</v>
      </c>
      <c r="U14" s="740">
        <f>'KB 03'!N$27</f>
        <v>0</v>
      </c>
      <c r="V14" s="760">
        <f t="shared" si="10"/>
        <v>7670</v>
      </c>
      <c r="W14" s="759">
        <f>'(F2) Shpenzimet sipas nenfunk.b'!Q14</f>
        <v>7670</v>
      </c>
      <c r="X14" s="740">
        <f>'KB 03'!O$19</f>
        <v>0</v>
      </c>
      <c r="Y14" s="740">
        <f>'KB 03'!O$27</f>
        <v>0</v>
      </c>
      <c r="Z14" s="760">
        <f t="shared" si="11"/>
        <v>7670</v>
      </c>
    </row>
    <row r="15" spans="1:26" s="104" customFormat="1" ht="15" customHeight="1" x14ac:dyDescent="0.2">
      <c r="A15" s="731" t="str">
        <f>'(F2) Shpenzimet sipas nenfunk.b'!A15</f>
        <v>03140</v>
      </c>
      <c r="B15" s="788" t="str">
        <f>'(F2) Shpenzimet sipas nenfunk.b'!B15</f>
        <v>Shërbimet e Policisë Vendore</v>
      </c>
      <c r="C15" s="761">
        <f>'(F2) Shpenzimet sipas nenfunk.b'!C15</f>
        <v>0</v>
      </c>
      <c r="D15" s="153">
        <f>'KB 03'!J73</f>
        <v>0</v>
      </c>
      <c r="E15" s="153">
        <f>'KB 03'!J80</f>
        <v>0</v>
      </c>
      <c r="F15" s="762">
        <f t="shared" si="6"/>
        <v>0</v>
      </c>
      <c r="G15" s="761">
        <f>'(F2) Shpenzimet sipas nenfunk.b'!D15</f>
        <v>0</v>
      </c>
      <c r="H15" s="153">
        <f>'KB 03'!K73</f>
        <v>0</v>
      </c>
      <c r="I15" s="153">
        <f>'KB 03'!K80</f>
        <v>0</v>
      </c>
      <c r="J15" s="762">
        <f t="shared" si="7"/>
        <v>0</v>
      </c>
      <c r="K15" s="761">
        <f>'(F2) Shpenzimet sipas nenfunk.b'!E15</f>
        <v>0</v>
      </c>
      <c r="L15" s="153">
        <f>'KB 03'!L73</f>
        <v>0</v>
      </c>
      <c r="M15" s="153">
        <f>'KB 03'!L80</f>
        <v>0</v>
      </c>
      <c r="N15" s="762">
        <f t="shared" si="8"/>
        <v>0</v>
      </c>
      <c r="O15" s="761">
        <f>'(F2) Shpenzimet sipas nenfunk.b'!I15</f>
        <v>7670</v>
      </c>
      <c r="P15" s="153">
        <f>'KB 03'!M73</f>
        <v>0</v>
      </c>
      <c r="Q15" s="153">
        <f>'KB 03'!M80</f>
        <v>0</v>
      </c>
      <c r="R15" s="762">
        <f t="shared" si="9"/>
        <v>7670</v>
      </c>
      <c r="S15" s="761">
        <f>'(F2) Shpenzimet sipas nenfunk.b'!M15</f>
        <v>7670</v>
      </c>
      <c r="T15" s="153">
        <f>'KB 03'!N73</f>
        <v>0</v>
      </c>
      <c r="U15" s="153">
        <f>'KB 03'!N80</f>
        <v>0</v>
      </c>
      <c r="V15" s="762">
        <f t="shared" si="10"/>
        <v>7670</v>
      </c>
      <c r="W15" s="761">
        <f>'(F2) Shpenzimet sipas nenfunk.b'!Q15</f>
        <v>7670</v>
      </c>
      <c r="X15" s="153">
        <f>'KB 03'!O73</f>
        <v>0</v>
      </c>
      <c r="Y15" s="153">
        <f>'KB 03'!O80</f>
        <v>0</v>
      </c>
      <c r="Z15" s="762">
        <f t="shared" si="11"/>
        <v>7670</v>
      </c>
    </row>
    <row r="16" spans="1:26" ht="15" customHeight="1" x14ac:dyDescent="0.2">
      <c r="A16" s="730" t="str">
        <f>'(F2) Shpenzimet sipas nenfunk.b'!A16</f>
        <v>Nënfunksioni 4</v>
      </c>
      <c r="B16" s="757" t="str">
        <f>'(F2) Shpenzimet sipas nenfunk.b'!B16</f>
        <v>032 Shërbimet e mbrojtjes ndaj zjarrit</v>
      </c>
      <c r="C16" s="759">
        <f>'(F2) Shpenzimet sipas nenfunk.b'!C16</f>
        <v>21298</v>
      </c>
      <c r="D16" s="740">
        <f>'KB 04'!J$19</f>
        <v>0</v>
      </c>
      <c r="E16" s="740">
        <f>'KB 04'!J$27</f>
        <v>0</v>
      </c>
      <c r="F16" s="760">
        <f t="shared" si="6"/>
        <v>21298</v>
      </c>
      <c r="G16" s="759">
        <f>'(F2) Shpenzimet sipas nenfunk.b'!D16</f>
        <v>21298</v>
      </c>
      <c r="H16" s="740">
        <f>'KB 04'!K$19</f>
        <v>0</v>
      </c>
      <c r="I16" s="740">
        <f>'KB 04'!K$27</f>
        <v>20300</v>
      </c>
      <c r="J16" s="760">
        <f t="shared" si="7"/>
        <v>998</v>
      </c>
      <c r="K16" s="759">
        <f>'(F2) Shpenzimet sipas nenfunk.b'!E16</f>
        <v>21298</v>
      </c>
      <c r="L16" s="740">
        <f>'KB 04'!L$19</f>
        <v>0</v>
      </c>
      <c r="M16" s="740">
        <f>'KB 04'!L$27</f>
        <v>20300</v>
      </c>
      <c r="N16" s="760">
        <f t="shared" si="8"/>
        <v>998</v>
      </c>
      <c r="O16" s="759">
        <f>'(F2) Shpenzimet sipas nenfunk.b'!I16</f>
        <v>31430</v>
      </c>
      <c r="P16" s="740">
        <f>'KB 04'!M$19</f>
        <v>0</v>
      </c>
      <c r="Q16" s="740">
        <f>'KB 04'!M$27</f>
        <v>0</v>
      </c>
      <c r="R16" s="760">
        <f t="shared" si="9"/>
        <v>31430</v>
      </c>
      <c r="S16" s="759">
        <f>'(F2) Shpenzimet sipas nenfunk.b'!M16</f>
        <v>31430</v>
      </c>
      <c r="T16" s="740">
        <f>'KB 04'!N$19</f>
        <v>0</v>
      </c>
      <c r="U16" s="740">
        <f>'KB 04'!N$27</f>
        <v>0</v>
      </c>
      <c r="V16" s="760">
        <f t="shared" si="10"/>
        <v>31430</v>
      </c>
      <c r="W16" s="759">
        <f>'(F2) Shpenzimet sipas nenfunk.b'!Q16</f>
        <v>31430</v>
      </c>
      <c r="X16" s="740">
        <f>'KB 04'!O$19</f>
        <v>0</v>
      </c>
      <c r="Y16" s="740">
        <f>'KB 04'!O$27</f>
        <v>0</v>
      </c>
      <c r="Z16" s="760">
        <f t="shared" si="11"/>
        <v>31430</v>
      </c>
    </row>
    <row r="17" spans="1:26" s="104" customFormat="1" ht="15" customHeight="1" x14ac:dyDescent="0.2">
      <c r="A17" s="731" t="str">
        <f>'(F2) Shpenzimet sipas nenfunk.b'!A17</f>
        <v>03280</v>
      </c>
      <c r="B17" s="788" t="str">
        <f>'(F2) Shpenzimet sipas nenfunk.b'!B17</f>
        <v>Mbrotja nga zjarri dhe mbrojtja civile</v>
      </c>
      <c r="C17" s="761">
        <f>'(F2) Shpenzimet sipas nenfunk.b'!C17</f>
        <v>21298</v>
      </c>
      <c r="D17" s="153">
        <f>'KB 04'!J73</f>
        <v>0</v>
      </c>
      <c r="E17" s="153">
        <f>'KB 04'!J80</f>
        <v>0</v>
      </c>
      <c r="F17" s="762">
        <f t="shared" si="6"/>
        <v>21298</v>
      </c>
      <c r="G17" s="761">
        <f>'(F2) Shpenzimet sipas nenfunk.b'!D17</f>
        <v>21298</v>
      </c>
      <c r="H17" s="153">
        <f>'KB 04'!K73</f>
        <v>0</v>
      </c>
      <c r="I17" s="153">
        <f>'KB 04'!K80</f>
        <v>20300</v>
      </c>
      <c r="J17" s="762">
        <f t="shared" si="7"/>
        <v>998</v>
      </c>
      <c r="K17" s="761">
        <f>'(F2) Shpenzimet sipas nenfunk.b'!E17</f>
        <v>21298</v>
      </c>
      <c r="L17" s="153">
        <f>'KB 04'!L73</f>
        <v>0</v>
      </c>
      <c r="M17" s="153">
        <f>'KB 04'!L80</f>
        <v>20300</v>
      </c>
      <c r="N17" s="762">
        <f t="shared" si="8"/>
        <v>998</v>
      </c>
      <c r="O17" s="761">
        <f>'(F2) Shpenzimet sipas nenfunk.b'!I17</f>
        <v>31430</v>
      </c>
      <c r="P17" s="153">
        <f>'KB 04'!M73</f>
        <v>0</v>
      </c>
      <c r="Q17" s="153">
        <f>'KB 04'!M80</f>
        <v>0</v>
      </c>
      <c r="R17" s="762">
        <f t="shared" si="9"/>
        <v>31430</v>
      </c>
      <c r="S17" s="761">
        <f>'(F2) Shpenzimet sipas nenfunk.b'!M17</f>
        <v>31430</v>
      </c>
      <c r="T17" s="153">
        <f>'KB 04'!N73</f>
        <v>0</v>
      </c>
      <c r="U17" s="153">
        <f>'KB 04'!N80</f>
        <v>0</v>
      </c>
      <c r="V17" s="762">
        <f t="shared" si="10"/>
        <v>31430</v>
      </c>
      <c r="W17" s="761">
        <f>'(F2) Shpenzimet sipas nenfunk.b'!Q17</f>
        <v>31430</v>
      </c>
      <c r="X17" s="153">
        <f>'KB 04'!O73</f>
        <v>0</v>
      </c>
      <c r="Y17" s="153">
        <f>'KB 04'!O80</f>
        <v>0</v>
      </c>
      <c r="Z17" s="762">
        <f t="shared" si="11"/>
        <v>31430</v>
      </c>
    </row>
    <row r="18" spans="1:26" ht="15" customHeight="1" x14ac:dyDescent="0.2">
      <c r="A18" s="730" t="str">
        <f>'(F2) Shpenzimet sipas nenfunk.b'!A18</f>
        <v>Nënfunksioni 5</v>
      </c>
      <c r="B18" s="757" t="str">
        <f>'(F2) Shpenzimet sipas nenfunk.b'!B18</f>
        <v>036 Marrdheniet me komunitetin</v>
      </c>
      <c r="C18" s="759">
        <f>'(F2) Shpenzimet sipas nenfunk.b'!C18</f>
        <v>0</v>
      </c>
      <c r="D18" s="740">
        <f>'KB 05'!J$19</f>
        <v>0</v>
      </c>
      <c r="E18" s="740">
        <f>'KB 05'!J$27</f>
        <v>0</v>
      </c>
      <c r="F18" s="760">
        <f t="shared" si="6"/>
        <v>0</v>
      </c>
      <c r="G18" s="759">
        <f>'(F2) Shpenzimet sipas nenfunk.b'!D18</f>
        <v>0</v>
      </c>
      <c r="H18" s="740">
        <f>'KB 05'!K$19</f>
        <v>0</v>
      </c>
      <c r="I18" s="740">
        <f>'KB 05'!K$27</f>
        <v>0</v>
      </c>
      <c r="J18" s="760">
        <f t="shared" si="7"/>
        <v>0</v>
      </c>
      <c r="K18" s="759">
        <f>'(F2) Shpenzimet sipas nenfunk.b'!E18</f>
        <v>0</v>
      </c>
      <c r="L18" s="740">
        <f>'KB 05'!L$19</f>
        <v>0</v>
      </c>
      <c r="M18" s="740">
        <f>'KB 05'!L$27</f>
        <v>0</v>
      </c>
      <c r="N18" s="760">
        <f t="shared" si="8"/>
        <v>0</v>
      </c>
      <c r="O18" s="759">
        <f>'(F2) Shpenzimet sipas nenfunk.b'!I18</f>
        <v>0</v>
      </c>
      <c r="P18" s="740">
        <f>'KB 05'!M$19</f>
        <v>0</v>
      </c>
      <c r="Q18" s="740">
        <f>'KB 05'!M$27</f>
        <v>0</v>
      </c>
      <c r="R18" s="760">
        <f t="shared" si="9"/>
        <v>0</v>
      </c>
      <c r="S18" s="759">
        <f>'(F2) Shpenzimet sipas nenfunk.b'!M18</f>
        <v>0</v>
      </c>
      <c r="T18" s="740">
        <f>'KB 05'!N$19</f>
        <v>0</v>
      </c>
      <c r="U18" s="740">
        <f>'KB 05'!N$27</f>
        <v>0</v>
      </c>
      <c r="V18" s="760">
        <f t="shared" si="10"/>
        <v>0</v>
      </c>
      <c r="W18" s="759">
        <f>'(F2) Shpenzimet sipas nenfunk.b'!Q18</f>
        <v>0</v>
      </c>
      <c r="X18" s="740">
        <f>'KB 05'!O$19</f>
        <v>0</v>
      </c>
      <c r="Y18" s="740">
        <f>'KB 05'!O$27</f>
        <v>0</v>
      </c>
      <c r="Z18" s="760">
        <f t="shared" si="11"/>
        <v>0</v>
      </c>
    </row>
    <row r="19" spans="1:26" s="104" customFormat="1" ht="15" customHeight="1" x14ac:dyDescent="0.2">
      <c r="A19" s="731" t="str">
        <f>'(F2) Shpenzimet sipas nenfunk.b'!A19</f>
        <v>03600</v>
      </c>
      <c r="B19" s="788" t="str">
        <f>'(F2) Shpenzimet sipas nenfunk.b'!B19</f>
        <v>Marrdheniet me komunitetin</v>
      </c>
      <c r="C19" s="761">
        <f>'(F2) Shpenzimet sipas nenfunk.b'!C19</f>
        <v>0</v>
      </c>
      <c r="D19" s="153">
        <f>'KB 05'!J73</f>
        <v>0</v>
      </c>
      <c r="E19" s="153">
        <f>'KB 05'!J80</f>
        <v>0</v>
      </c>
      <c r="F19" s="762">
        <f>C19-D19-E19</f>
        <v>0</v>
      </c>
      <c r="G19" s="761">
        <f>'(F2) Shpenzimet sipas nenfunk.b'!D19</f>
        <v>0</v>
      </c>
      <c r="H19" s="153">
        <f>'KB 05'!K73</f>
        <v>0</v>
      </c>
      <c r="I19" s="153">
        <f>'KB 05'!K80</f>
        <v>0</v>
      </c>
      <c r="J19" s="762">
        <f t="shared" si="7"/>
        <v>0</v>
      </c>
      <c r="K19" s="761">
        <f>'(F2) Shpenzimet sipas nenfunk.b'!E19</f>
        <v>0</v>
      </c>
      <c r="L19" s="153">
        <f>'KB 05'!L73</f>
        <v>0</v>
      </c>
      <c r="M19" s="153">
        <f>'KB 05'!L80</f>
        <v>0</v>
      </c>
      <c r="N19" s="762">
        <f t="shared" si="8"/>
        <v>0</v>
      </c>
      <c r="O19" s="761">
        <f>'(F2) Shpenzimet sipas nenfunk.b'!I19</f>
        <v>0</v>
      </c>
      <c r="P19" s="153">
        <f>'KB 05'!M73</f>
        <v>0</v>
      </c>
      <c r="Q19" s="153">
        <f>'KB 05'!M80</f>
        <v>0</v>
      </c>
      <c r="R19" s="762">
        <f t="shared" si="9"/>
        <v>0</v>
      </c>
      <c r="S19" s="761">
        <f>'(F2) Shpenzimet sipas nenfunk.b'!M19</f>
        <v>0</v>
      </c>
      <c r="T19" s="153">
        <f>'KB 05'!N73</f>
        <v>0</v>
      </c>
      <c r="U19" s="153">
        <f>'KB 05'!N80</f>
        <v>0</v>
      </c>
      <c r="V19" s="762">
        <f t="shared" si="10"/>
        <v>0</v>
      </c>
      <c r="W19" s="761">
        <f>'(F2) Shpenzimet sipas nenfunk.b'!Q19</f>
        <v>0</v>
      </c>
      <c r="X19" s="153">
        <f>'KB 05'!O73</f>
        <v>0</v>
      </c>
      <c r="Y19" s="153">
        <f>'KB 05'!O80</f>
        <v>0</v>
      </c>
      <c r="Z19" s="762">
        <f t="shared" si="11"/>
        <v>0</v>
      </c>
    </row>
    <row r="20" spans="1:26" ht="15" customHeight="1" x14ac:dyDescent="0.2">
      <c r="A20" s="730" t="str">
        <f>'(F2) Shpenzimet sipas nenfunk.b'!A20</f>
        <v>Nënfunksioni 6</v>
      </c>
      <c r="B20" s="757" t="str">
        <f>'(F2) Shpenzimet sipas nenfunk.b'!B20</f>
        <v>041 Çështjet e përgjithshme ekonomike, tregtare dhe të punës</v>
      </c>
      <c r="C20" s="759">
        <f>'(F2) Shpenzimet sipas nenfunk.b'!C20</f>
        <v>0</v>
      </c>
      <c r="D20" s="740">
        <f>'KB 06'!J$19</f>
        <v>0</v>
      </c>
      <c r="E20" s="740">
        <f>'KB 06'!J$27</f>
        <v>0</v>
      </c>
      <c r="F20" s="760">
        <f t="shared" si="6"/>
        <v>0</v>
      </c>
      <c r="G20" s="759">
        <f>'(F2) Shpenzimet sipas nenfunk.b'!D20</f>
        <v>0</v>
      </c>
      <c r="H20" s="740">
        <f>'KB 06'!K$19</f>
        <v>0</v>
      </c>
      <c r="I20" s="740">
        <f>'KB 06'!K$27</f>
        <v>0</v>
      </c>
      <c r="J20" s="760">
        <f t="shared" si="7"/>
        <v>0</v>
      </c>
      <c r="K20" s="759">
        <f>'(F2) Shpenzimet sipas nenfunk.b'!E20</f>
        <v>0</v>
      </c>
      <c r="L20" s="740">
        <f>'KB 06'!L$19</f>
        <v>0</v>
      </c>
      <c r="M20" s="740">
        <f>'KB 06'!L$27</f>
        <v>0</v>
      </c>
      <c r="N20" s="760">
        <f t="shared" si="8"/>
        <v>0</v>
      </c>
      <c r="O20" s="759">
        <f>'(F2) Shpenzimet sipas nenfunk.b'!I20</f>
        <v>1631</v>
      </c>
      <c r="P20" s="740">
        <f>'KB 06'!M$19</f>
        <v>0</v>
      </c>
      <c r="Q20" s="740">
        <f>'KB 06'!M$27</f>
        <v>0</v>
      </c>
      <c r="R20" s="760">
        <f t="shared" si="9"/>
        <v>1631</v>
      </c>
      <c r="S20" s="759">
        <f>'(F2) Shpenzimet sipas nenfunk.b'!M20</f>
        <v>1631</v>
      </c>
      <c r="T20" s="740">
        <f>'KB 06'!N$19</f>
        <v>0</v>
      </c>
      <c r="U20" s="740">
        <f>'KB 06'!N$27</f>
        <v>0</v>
      </c>
      <c r="V20" s="760">
        <f t="shared" si="10"/>
        <v>1631</v>
      </c>
      <c r="W20" s="759">
        <f>'(F2) Shpenzimet sipas nenfunk.b'!Q20</f>
        <v>1631</v>
      </c>
      <c r="X20" s="740">
        <f>'KB 06'!O$19</f>
        <v>0</v>
      </c>
      <c r="Y20" s="740">
        <f>'KB 06'!O$27</f>
        <v>0</v>
      </c>
      <c r="Z20" s="760">
        <f t="shared" si="11"/>
        <v>1631</v>
      </c>
    </row>
    <row r="21" spans="1:26" s="104" customFormat="1" ht="15" hidden="1" customHeight="1" x14ac:dyDescent="0.2">
      <c r="A21" s="731" t="str">
        <f>'(F2) Shpenzimet sipas nenfunk.b'!A21</f>
        <v>04110</v>
      </c>
      <c r="B21" s="788" t="str">
        <f>'(F2) Shpenzimet sipas nenfunk.b'!B21</f>
        <v xml:space="preserve">Çështjet e përgjithshme ekonomike dhe tregtare </v>
      </c>
      <c r="C21" s="761">
        <f>'(F2) Shpenzimet sipas nenfunk.b'!C21</f>
        <v>0</v>
      </c>
      <c r="D21" s="153">
        <f>'KB 06'!J73</f>
        <v>0</v>
      </c>
      <c r="E21" s="153">
        <f>'KB 06'!J80</f>
        <v>0</v>
      </c>
      <c r="F21" s="762">
        <f t="shared" si="6"/>
        <v>0</v>
      </c>
      <c r="G21" s="761">
        <f>'(F2) Shpenzimet sipas nenfunk.b'!D21</f>
        <v>0</v>
      </c>
      <c r="H21" s="153">
        <f>'KB 06'!K73</f>
        <v>0</v>
      </c>
      <c r="I21" s="153">
        <f>'KB 06'!K80</f>
        <v>0</v>
      </c>
      <c r="J21" s="762">
        <f t="shared" si="7"/>
        <v>0</v>
      </c>
      <c r="K21" s="761">
        <f>'(F2) Shpenzimet sipas nenfunk.b'!E21</f>
        <v>0</v>
      </c>
      <c r="L21" s="153">
        <f>'KB 06'!L73</f>
        <v>0</v>
      </c>
      <c r="M21" s="153">
        <f>'KB 06'!L80</f>
        <v>0</v>
      </c>
      <c r="N21" s="762">
        <f t="shared" si="8"/>
        <v>0</v>
      </c>
      <c r="O21" s="761">
        <f>'(F2) Shpenzimet sipas nenfunk.b'!I21</f>
        <v>0</v>
      </c>
      <c r="P21" s="153">
        <f>'KB 06'!M73</f>
        <v>0</v>
      </c>
      <c r="Q21" s="153">
        <f>'KB 06'!M80</f>
        <v>0</v>
      </c>
      <c r="R21" s="762">
        <f t="shared" si="9"/>
        <v>0</v>
      </c>
      <c r="S21" s="761">
        <f>'(F2) Shpenzimet sipas nenfunk.b'!M21</f>
        <v>0</v>
      </c>
      <c r="T21" s="153">
        <f>'KB 06'!N73</f>
        <v>0</v>
      </c>
      <c r="U21" s="153">
        <f>'KB 06'!N80</f>
        <v>0</v>
      </c>
      <c r="V21" s="762">
        <f t="shared" si="10"/>
        <v>0</v>
      </c>
      <c r="W21" s="761">
        <f>'(F2) Shpenzimet sipas nenfunk.b'!Q21</f>
        <v>0</v>
      </c>
      <c r="X21" s="153">
        <f>'KB 06'!O73</f>
        <v>0</v>
      </c>
      <c r="Y21" s="153">
        <f>'KB 06'!O80</f>
        <v>0</v>
      </c>
      <c r="Z21" s="762">
        <f t="shared" si="11"/>
        <v>0</v>
      </c>
    </row>
    <row r="22" spans="1:26" s="104" customFormat="1" ht="15" customHeight="1" x14ac:dyDescent="0.2">
      <c r="A22" s="731" t="str">
        <f>'(F2) Shpenzimet sipas nenfunk.b'!A22</f>
        <v>04130</v>
      </c>
      <c r="B22" s="788" t="str">
        <f>'(F2) Shpenzimet sipas nenfunk.b'!B22</f>
        <v>Mbështetje për zhvillimin ekonomik</v>
      </c>
      <c r="C22" s="761">
        <f>'(F2) Shpenzimet sipas nenfunk.b'!C22</f>
        <v>0</v>
      </c>
      <c r="D22" s="153">
        <f>'KB 06'!J112</f>
        <v>0</v>
      </c>
      <c r="E22" s="153">
        <f>'KB 06'!J119</f>
        <v>0</v>
      </c>
      <c r="F22" s="762">
        <f t="shared" si="6"/>
        <v>0</v>
      </c>
      <c r="G22" s="761">
        <f>'(F2) Shpenzimet sipas nenfunk.b'!D22</f>
        <v>0</v>
      </c>
      <c r="H22" s="153">
        <f>'KB 06'!K112</f>
        <v>0</v>
      </c>
      <c r="I22" s="153">
        <f>'KB 06'!K119</f>
        <v>0</v>
      </c>
      <c r="J22" s="762">
        <f t="shared" si="7"/>
        <v>0</v>
      </c>
      <c r="K22" s="761">
        <f>'(F2) Shpenzimet sipas nenfunk.b'!E22</f>
        <v>0</v>
      </c>
      <c r="L22" s="153">
        <f>'KB 06'!L112</f>
        <v>0</v>
      </c>
      <c r="M22" s="153">
        <f>'KB 06'!L119</f>
        <v>0</v>
      </c>
      <c r="N22" s="762">
        <f t="shared" si="8"/>
        <v>0</v>
      </c>
      <c r="O22" s="761">
        <f>'(F2) Shpenzimet sipas nenfunk.b'!I22</f>
        <v>1631</v>
      </c>
      <c r="P22" s="153">
        <f>'KB 06'!M112</f>
        <v>0</v>
      </c>
      <c r="Q22" s="153">
        <f>'KB 06'!M119</f>
        <v>0</v>
      </c>
      <c r="R22" s="762">
        <f t="shared" si="9"/>
        <v>1631</v>
      </c>
      <c r="S22" s="761">
        <f>'(F2) Shpenzimet sipas nenfunk.b'!M22</f>
        <v>1631</v>
      </c>
      <c r="T22" s="153">
        <f>'KB 06'!N112</f>
        <v>0</v>
      </c>
      <c r="U22" s="153">
        <f>'KB 06'!N119</f>
        <v>0</v>
      </c>
      <c r="V22" s="762">
        <f t="shared" si="10"/>
        <v>1631</v>
      </c>
      <c r="W22" s="761">
        <f>'(F2) Shpenzimet sipas nenfunk.b'!Q22</f>
        <v>1631</v>
      </c>
      <c r="X22" s="153">
        <f>'KB 06'!O112</f>
        <v>0</v>
      </c>
      <c r="Y22" s="153">
        <f>'KB 06'!O119</f>
        <v>0</v>
      </c>
      <c r="Z22" s="762">
        <f t="shared" si="11"/>
        <v>1631</v>
      </c>
    </row>
    <row r="23" spans="1:26" s="104" customFormat="1" ht="15" hidden="1" customHeight="1" x14ac:dyDescent="0.2">
      <c r="A23" s="731" t="str">
        <f>'(F2) Shpenzimet sipas nenfunk.b'!A23</f>
        <v>04132</v>
      </c>
      <c r="B23" s="788" t="str">
        <f>'(F2) Shpenzimet sipas nenfunk.b'!B23</f>
        <v>Mbështetja e Zhvillimit rajonal</v>
      </c>
      <c r="C23" s="761">
        <f>'(F2) Shpenzimet sipas nenfunk.b'!C23</f>
        <v>0</v>
      </c>
      <c r="D23" s="153">
        <f>'KB 06'!J190</f>
        <v>0</v>
      </c>
      <c r="E23" s="153">
        <f>'KB 06'!J197</f>
        <v>0</v>
      </c>
      <c r="F23" s="762">
        <f t="shared" si="6"/>
        <v>0</v>
      </c>
      <c r="G23" s="761">
        <f>'(F2) Shpenzimet sipas nenfunk.b'!D23</f>
        <v>0</v>
      </c>
      <c r="H23" s="153">
        <f>'KB 06'!K190</f>
        <v>0</v>
      </c>
      <c r="I23" s="153">
        <f>'KB 06'!K197</f>
        <v>0</v>
      </c>
      <c r="J23" s="762">
        <f t="shared" si="7"/>
        <v>0</v>
      </c>
      <c r="K23" s="761">
        <f>'(F2) Shpenzimet sipas nenfunk.b'!E23</f>
        <v>0</v>
      </c>
      <c r="L23" s="153">
        <f>'KB 06'!L190</f>
        <v>0</v>
      </c>
      <c r="M23" s="153">
        <f>'KB 06'!L197</f>
        <v>0</v>
      </c>
      <c r="N23" s="762">
        <f t="shared" si="8"/>
        <v>0</v>
      </c>
      <c r="O23" s="761">
        <f>'(F2) Shpenzimet sipas nenfunk.b'!I23</f>
        <v>0</v>
      </c>
      <c r="P23" s="153">
        <f>'KB 06'!M190</f>
        <v>0</v>
      </c>
      <c r="Q23" s="153">
        <f>'KB 06'!M197</f>
        <v>0</v>
      </c>
      <c r="R23" s="762">
        <f t="shared" si="9"/>
        <v>0</v>
      </c>
      <c r="S23" s="761">
        <f>'(F2) Shpenzimet sipas nenfunk.b'!M23</f>
        <v>0</v>
      </c>
      <c r="T23" s="153">
        <f>'KB 06'!N190</f>
        <v>0</v>
      </c>
      <c r="U23" s="153">
        <f>'KB 06'!N197</f>
        <v>0</v>
      </c>
      <c r="V23" s="762">
        <f t="shared" si="10"/>
        <v>0</v>
      </c>
      <c r="W23" s="761">
        <f>'(F2) Shpenzimet sipas nenfunk.b'!Q23</f>
        <v>0</v>
      </c>
      <c r="X23" s="153">
        <f>'KB 06'!O190</f>
        <v>0</v>
      </c>
      <c r="Y23" s="153">
        <f>'KB 06'!O197</f>
        <v>0</v>
      </c>
      <c r="Z23" s="762">
        <f t="shared" si="11"/>
        <v>0</v>
      </c>
    </row>
    <row r="24" spans="1:26" s="104" customFormat="1" ht="15" customHeight="1" x14ac:dyDescent="0.2">
      <c r="A24" s="731" t="str">
        <f>'(F2) Shpenzimet sipas nenfunk.b'!A24</f>
        <v>04160</v>
      </c>
      <c r="B24" s="788" t="str">
        <f>'(F2) Shpenzimet sipas nenfunk.b'!B24</f>
        <v>Shërbimet e tregjeve, akreditimi dhe inspektimi</v>
      </c>
      <c r="C24" s="761">
        <f>'(F2) Shpenzimet sipas nenfunk.b'!C24</f>
        <v>0</v>
      </c>
      <c r="D24" s="153">
        <f>'KB 06'!J229</f>
        <v>0</v>
      </c>
      <c r="E24" s="153">
        <f>'KB 06'!J236</f>
        <v>0</v>
      </c>
      <c r="F24" s="762">
        <f t="shared" si="6"/>
        <v>0</v>
      </c>
      <c r="G24" s="761">
        <f>'(F2) Shpenzimet sipas nenfunk.b'!D24</f>
        <v>0</v>
      </c>
      <c r="H24" s="153">
        <f>'KB 06'!K229</f>
        <v>0</v>
      </c>
      <c r="I24" s="153">
        <f>'KB 06'!K236</f>
        <v>0</v>
      </c>
      <c r="J24" s="762">
        <f t="shared" si="7"/>
        <v>0</v>
      </c>
      <c r="K24" s="761">
        <f>'(F2) Shpenzimet sipas nenfunk.b'!E24</f>
        <v>0</v>
      </c>
      <c r="L24" s="153">
        <f>'KB 06'!L229</f>
        <v>0</v>
      </c>
      <c r="M24" s="153">
        <f>'KB 06'!L236</f>
        <v>0</v>
      </c>
      <c r="N24" s="762">
        <f t="shared" si="8"/>
        <v>0</v>
      </c>
      <c r="O24" s="761">
        <f>'(F2) Shpenzimet sipas nenfunk.b'!I24</f>
        <v>0</v>
      </c>
      <c r="P24" s="153">
        <f>'KB 06'!M229</f>
        <v>0</v>
      </c>
      <c r="Q24" s="153">
        <f>'KB 06'!M236</f>
        <v>0</v>
      </c>
      <c r="R24" s="762">
        <f t="shared" si="9"/>
        <v>0</v>
      </c>
      <c r="S24" s="761">
        <f>'(F2) Shpenzimet sipas nenfunk.b'!M24</f>
        <v>0</v>
      </c>
      <c r="T24" s="153">
        <f>'KB 06'!N229</f>
        <v>0</v>
      </c>
      <c r="U24" s="153">
        <f>'KB 06'!N236</f>
        <v>0</v>
      </c>
      <c r="V24" s="762">
        <f t="shared" si="10"/>
        <v>0</v>
      </c>
      <c r="W24" s="761">
        <f>'(F2) Shpenzimet sipas nenfunk.b'!Q24</f>
        <v>0</v>
      </c>
      <c r="X24" s="153">
        <f>'KB 06'!O229</f>
        <v>0</v>
      </c>
      <c r="Y24" s="153">
        <f>'KB 06'!O236</f>
        <v>0</v>
      </c>
      <c r="Z24" s="762">
        <f t="shared" si="11"/>
        <v>0</v>
      </c>
    </row>
    <row r="25" spans="1:26" ht="15" customHeight="1" x14ac:dyDescent="0.2">
      <c r="A25" s="730" t="str">
        <f>'(F2) Shpenzimet sipas nenfunk.b'!A25</f>
        <v>Nënfunksioni 7</v>
      </c>
      <c r="B25" s="757" t="str">
        <f>'(F2) Shpenzimet sipas nenfunk.b'!B25</f>
        <v>042 Bujqësia, pyjet, peshkimi dhe gjuetia</v>
      </c>
      <c r="C25" s="759">
        <f>'(F2) Shpenzimet sipas nenfunk.b'!C25</f>
        <v>22382</v>
      </c>
      <c r="D25" s="740">
        <f>'KB 07'!J$19</f>
        <v>5013</v>
      </c>
      <c r="E25" s="740">
        <f>'KB 07'!J$27</f>
        <v>0</v>
      </c>
      <c r="F25" s="760">
        <f t="shared" si="6"/>
        <v>17369</v>
      </c>
      <c r="G25" s="759">
        <f>'(F2) Shpenzimet sipas nenfunk.b'!D25</f>
        <v>22382</v>
      </c>
      <c r="H25" s="740">
        <f>'KB 07'!K$19</f>
        <v>5013</v>
      </c>
      <c r="I25" s="740">
        <f>'KB 07'!K$27</f>
        <v>17369</v>
      </c>
      <c r="J25" s="760">
        <f t="shared" si="7"/>
        <v>0</v>
      </c>
      <c r="K25" s="759">
        <f>'(F2) Shpenzimet sipas nenfunk.b'!E25</f>
        <v>22382</v>
      </c>
      <c r="L25" s="740">
        <f>'KB 07'!L$19</f>
        <v>5013</v>
      </c>
      <c r="M25" s="740">
        <f>'KB 07'!L$27</f>
        <v>17369</v>
      </c>
      <c r="N25" s="760">
        <f t="shared" si="8"/>
        <v>0</v>
      </c>
      <c r="O25" s="759">
        <f>'(F2) Shpenzimet sipas nenfunk.b'!I25</f>
        <v>17402</v>
      </c>
      <c r="P25" s="740">
        <f>'KB 07'!M$19</f>
        <v>0</v>
      </c>
      <c r="Q25" s="740">
        <f>'KB 07'!M$27</f>
        <v>0</v>
      </c>
      <c r="R25" s="760">
        <f t="shared" si="9"/>
        <v>17402</v>
      </c>
      <c r="S25" s="759">
        <f>'(F2) Shpenzimet sipas nenfunk.b'!M25</f>
        <v>20402</v>
      </c>
      <c r="T25" s="740">
        <f>'KB 07'!N$19</f>
        <v>0</v>
      </c>
      <c r="U25" s="740">
        <f>'KB 07'!N$27</f>
        <v>0</v>
      </c>
      <c r="V25" s="760">
        <f t="shared" si="10"/>
        <v>20402</v>
      </c>
      <c r="W25" s="759">
        <f>'(F2) Shpenzimet sipas nenfunk.b'!Q25</f>
        <v>17402</v>
      </c>
      <c r="X25" s="740">
        <f>'KB 07'!O$19</f>
        <v>0</v>
      </c>
      <c r="Y25" s="740">
        <f>'KB 07'!O$27</f>
        <v>0</v>
      </c>
      <c r="Z25" s="760">
        <f t="shared" si="11"/>
        <v>17402</v>
      </c>
    </row>
    <row r="26" spans="1:26" s="104" customFormat="1" ht="15" customHeight="1" x14ac:dyDescent="0.2">
      <c r="A26" s="731" t="str">
        <f>'(F2) Shpenzimet sipas nenfunk.b'!A26</f>
        <v>04220</v>
      </c>
      <c r="B26" s="788" t="str">
        <f>'(F2) Shpenzimet sipas nenfunk.b'!B26</f>
        <v>Shërbimet bujqësore, inspektimi, ushqimi dhe mbrojtja e konsumatoreve</v>
      </c>
      <c r="C26" s="761">
        <f>'(F2) Shpenzimet sipas nenfunk.b'!C26</f>
        <v>0</v>
      </c>
      <c r="D26" s="153">
        <f>'KB 07'!J73</f>
        <v>0</v>
      </c>
      <c r="E26" s="153">
        <f>'KB 07'!J80</f>
        <v>0</v>
      </c>
      <c r="F26" s="762">
        <f t="shared" si="6"/>
        <v>0</v>
      </c>
      <c r="G26" s="761">
        <f>'(F2) Shpenzimet sipas nenfunk.b'!D26</f>
        <v>0</v>
      </c>
      <c r="H26" s="153">
        <f>'KB 07'!K73</f>
        <v>0</v>
      </c>
      <c r="I26" s="153">
        <f>'KB 07'!K80</f>
        <v>0</v>
      </c>
      <c r="J26" s="762">
        <f t="shared" si="7"/>
        <v>0</v>
      </c>
      <c r="K26" s="761">
        <f>'(F2) Shpenzimet sipas nenfunk.b'!E26</f>
        <v>0</v>
      </c>
      <c r="L26" s="153">
        <f>'KB 07'!L73</f>
        <v>0</v>
      </c>
      <c r="M26" s="153">
        <f>'KB 07'!L80</f>
        <v>0</v>
      </c>
      <c r="N26" s="762">
        <f t="shared" si="8"/>
        <v>0</v>
      </c>
      <c r="O26" s="761">
        <f>'(F2) Shpenzimet sipas nenfunk.b'!I26</f>
        <v>0</v>
      </c>
      <c r="P26" s="153">
        <f>'KB 07'!M73</f>
        <v>0</v>
      </c>
      <c r="Q26" s="153">
        <f>'KB 07'!M80</f>
        <v>0</v>
      </c>
      <c r="R26" s="762">
        <f t="shared" si="9"/>
        <v>0</v>
      </c>
      <c r="S26" s="761">
        <f>'(F2) Shpenzimet sipas nenfunk.b'!M26</f>
        <v>0</v>
      </c>
      <c r="T26" s="153">
        <f>'KB 07'!N73</f>
        <v>0</v>
      </c>
      <c r="U26" s="153">
        <f>'KB 07'!N80</f>
        <v>0</v>
      </c>
      <c r="V26" s="762">
        <f t="shared" si="10"/>
        <v>0</v>
      </c>
      <c r="W26" s="761">
        <f>'(F2) Shpenzimet sipas nenfunk.b'!Q26</f>
        <v>0</v>
      </c>
      <c r="X26" s="153">
        <f>'KB 07'!O73</f>
        <v>0</v>
      </c>
      <c r="Y26" s="153">
        <f>'KB 07'!O80</f>
        <v>0</v>
      </c>
      <c r="Z26" s="762">
        <f t="shared" si="11"/>
        <v>0</v>
      </c>
    </row>
    <row r="27" spans="1:26" s="104" customFormat="1" ht="15" hidden="1" customHeight="1" x14ac:dyDescent="0.2">
      <c r="A27" s="731" t="str">
        <f>'(F2) Shpenzimet sipas nenfunk.b'!A27</f>
        <v>04223</v>
      </c>
      <c r="B27" s="788" t="str">
        <f>'(F2) Shpenzimet sipas nenfunk.b'!B27</f>
        <v>Veterineria</v>
      </c>
      <c r="C27" s="761">
        <f>'(F2) Shpenzimet sipas nenfunk.b'!C27</f>
        <v>0</v>
      </c>
      <c r="D27" s="153">
        <f>'KB 07'!J151</f>
        <v>0</v>
      </c>
      <c r="E27" s="153">
        <f>'KB 07'!J158</f>
        <v>0</v>
      </c>
      <c r="F27" s="762">
        <f t="shared" si="6"/>
        <v>0</v>
      </c>
      <c r="G27" s="761">
        <f>'(F2) Shpenzimet sipas nenfunk.b'!D27</f>
        <v>0</v>
      </c>
      <c r="H27" s="153">
        <f>'KB 07'!K151</f>
        <v>0</v>
      </c>
      <c r="I27" s="153">
        <f>'KB 07'!K158</f>
        <v>0</v>
      </c>
      <c r="J27" s="762">
        <f t="shared" si="7"/>
        <v>0</v>
      </c>
      <c r="K27" s="761">
        <f>'(F2) Shpenzimet sipas nenfunk.b'!E27</f>
        <v>0</v>
      </c>
      <c r="L27" s="153">
        <f>'KB 07'!L151</f>
        <v>0</v>
      </c>
      <c r="M27" s="153">
        <f>'KB 07'!L158</f>
        <v>0</v>
      </c>
      <c r="N27" s="762">
        <f t="shared" si="8"/>
        <v>0</v>
      </c>
      <c r="O27" s="761">
        <f>'(F2) Shpenzimet sipas nenfunk.b'!I27</f>
        <v>0</v>
      </c>
      <c r="P27" s="153">
        <f>'KB 07'!M151</f>
        <v>0</v>
      </c>
      <c r="Q27" s="153">
        <f>'KB 07'!M158</f>
        <v>0</v>
      </c>
      <c r="R27" s="762">
        <f t="shared" si="9"/>
        <v>0</v>
      </c>
      <c r="S27" s="761">
        <f>'(F2) Shpenzimet sipas nenfunk.b'!M27</f>
        <v>0</v>
      </c>
      <c r="T27" s="153">
        <f>'KB 07'!N151</f>
        <v>0</v>
      </c>
      <c r="U27" s="153">
        <f>'KB 07'!N158</f>
        <v>0</v>
      </c>
      <c r="V27" s="762">
        <f t="shared" si="10"/>
        <v>0</v>
      </c>
      <c r="W27" s="761">
        <f>'(F2) Shpenzimet sipas nenfunk.b'!Q27</f>
        <v>0</v>
      </c>
      <c r="X27" s="153">
        <f>'KB 07'!O151</f>
        <v>0</v>
      </c>
      <c r="Y27" s="153">
        <f>'KB 07'!O158</f>
        <v>0</v>
      </c>
      <c r="Z27" s="762">
        <f t="shared" si="11"/>
        <v>0</v>
      </c>
    </row>
    <row r="28" spans="1:26" s="104" customFormat="1" ht="15" customHeight="1" x14ac:dyDescent="0.2">
      <c r="A28" s="731" t="str">
        <f>'(F2) Shpenzimet sipas nenfunk.b'!A28</f>
        <v>04240</v>
      </c>
      <c r="B28" s="788" t="str">
        <f>'(F2) Shpenzimet sipas nenfunk.b'!B28</f>
        <v>Menaxhimi i Infrastruktuës së ujitjes dhe kullimit</v>
      </c>
      <c r="C28" s="761">
        <f>'(F2) Shpenzimet sipas nenfunk.b'!C28</f>
        <v>15529</v>
      </c>
      <c r="D28" s="153">
        <f>'KB 07'!J190</f>
        <v>5013</v>
      </c>
      <c r="E28" s="153">
        <f>'KB 07'!J197</f>
        <v>0</v>
      </c>
      <c r="F28" s="762">
        <f t="shared" si="6"/>
        <v>10516</v>
      </c>
      <c r="G28" s="761">
        <f>'(F2) Shpenzimet sipas nenfunk.b'!D28</f>
        <v>15529</v>
      </c>
      <c r="H28" s="153">
        <f>'KB 07'!K190</f>
        <v>5013</v>
      </c>
      <c r="I28" s="153">
        <f>'KB 07'!K197</f>
        <v>10516</v>
      </c>
      <c r="J28" s="762">
        <f t="shared" si="7"/>
        <v>0</v>
      </c>
      <c r="K28" s="761">
        <f>'(F2) Shpenzimet sipas nenfunk.b'!E28</f>
        <v>15529</v>
      </c>
      <c r="L28" s="153">
        <f>'KB 07'!L190</f>
        <v>5013</v>
      </c>
      <c r="M28" s="153">
        <f>'KB 07'!L197</f>
        <v>10516</v>
      </c>
      <c r="N28" s="762">
        <f t="shared" si="8"/>
        <v>0</v>
      </c>
      <c r="O28" s="761">
        <f>'(F2) Shpenzimet sipas nenfunk.b'!I28</f>
        <v>17402</v>
      </c>
      <c r="P28" s="153">
        <f>'KB 07'!M190</f>
        <v>0</v>
      </c>
      <c r="Q28" s="153">
        <f>'KB 07'!M197</f>
        <v>0</v>
      </c>
      <c r="R28" s="762">
        <f t="shared" si="9"/>
        <v>17402</v>
      </c>
      <c r="S28" s="761">
        <f>'(F2) Shpenzimet sipas nenfunk.b'!M28</f>
        <v>20402</v>
      </c>
      <c r="T28" s="153">
        <f>'KB 07'!N190</f>
        <v>0</v>
      </c>
      <c r="U28" s="153">
        <f>'KB 07'!N197</f>
        <v>0</v>
      </c>
      <c r="V28" s="762">
        <f t="shared" si="10"/>
        <v>20402</v>
      </c>
      <c r="W28" s="761">
        <f>'(F2) Shpenzimet sipas nenfunk.b'!Q28</f>
        <v>17402</v>
      </c>
      <c r="X28" s="153">
        <f>'KB 07'!O190</f>
        <v>0</v>
      </c>
      <c r="Y28" s="153">
        <f>'KB 07'!O197</f>
        <v>0</v>
      </c>
      <c r="Z28" s="762">
        <f t="shared" si="11"/>
        <v>17402</v>
      </c>
    </row>
    <row r="29" spans="1:26" s="104" customFormat="1" ht="15" customHeight="1" x14ac:dyDescent="0.2">
      <c r="A29" s="731" t="str">
        <f>'(F2) Shpenzimet sipas nenfunk.b'!A29</f>
        <v>04260</v>
      </c>
      <c r="B29" s="788" t="str">
        <f>'(F2) Shpenzimet sipas nenfunk.b'!B29</f>
        <v>Administrimi i pyjeve dhe kullotave</v>
      </c>
      <c r="C29" s="761">
        <f>'(F2) Shpenzimet sipas nenfunk.b'!C29</f>
        <v>6853</v>
      </c>
      <c r="D29" s="153">
        <f>'KB 07'!J229</f>
        <v>0</v>
      </c>
      <c r="E29" s="153">
        <f>'KB 07'!J236</f>
        <v>0</v>
      </c>
      <c r="F29" s="762">
        <f t="shared" si="6"/>
        <v>6853</v>
      </c>
      <c r="G29" s="761">
        <f>'(F2) Shpenzimet sipas nenfunk.b'!D29</f>
        <v>6853</v>
      </c>
      <c r="H29" s="153">
        <f>'KB 07'!K229</f>
        <v>0</v>
      </c>
      <c r="I29" s="153">
        <f>'KB 07'!K236</f>
        <v>6853</v>
      </c>
      <c r="J29" s="762">
        <f t="shared" si="7"/>
        <v>0</v>
      </c>
      <c r="K29" s="761">
        <f>'(F2) Shpenzimet sipas nenfunk.b'!E29</f>
        <v>6853</v>
      </c>
      <c r="L29" s="153">
        <f>'KB 07'!L229</f>
        <v>0</v>
      </c>
      <c r="M29" s="153">
        <f>'KB 07'!L236</f>
        <v>6853</v>
      </c>
      <c r="N29" s="762">
        <f t="shared" si="8"/>
        <v>0</v>
      </c>
      <c r="O29" s="761">
        <f>'(F2) Shpenzimet sipas nenfunk.b'!I29</f>
        <v>0</v>
      </c>
      <c r="P29" s="153">
        <f>'KB 07'!M229</f>
        <v>0</v>
      </c>
      <c r="Q29" s="153">
        <f>'KB 07'!M236</f>
        <v>0</v>
      </c>
      <c r="R29" s="762">
        <f t="shared" si="9"/>
        <v>0</v>
      </c>
      <c r="S29" s="761">
        <f>'(F2) Shpenzimet sipas nenfunk.b'!M29</f>
        <v>0</v>
      </c>
      <c r="T29" s="153">
        <f>'KB 07'!N229</f>
        <v>0</v>
      </c>
      <c r="U29" s="153">
        <f>'KB 07'!N236</f>
        <v>0</v>
      </c>
      <c r="V29" s="762">
        <f t="shared" si="10"/>
        <v>0</v>
      </c>
      <c r="W29" s="761">
        <f>'(F2) Shpenzimet sipas nenfunk.b'!Q29</f>
        <v>0</v>
      </c>
      <c r="X29" s="153">
        <f>'KB 07'!O229</f>
        <v>0</v>
      </c>
      <c r="Y29" s="153">
        <f>'KB 07'!O236</f>
        <v>0</v>
      </c>
      <c r="Z29" s="762">
        <f t="shared" si="11"/>
        <v>0</v>
      </c>
    </row>
    <row r="30" spans="1:26" ht="15" customHeight="1" x14ac:dyDescent="0.2">
      <c r="A30" s="730" t="str">
        <f>'(F2) Shpenzimet sipas nenfunk.b'!A30</f>
        <v>Nënfunksioni 8</v>
      </c>
      <c r="B30" s="757" t="str">
        <f>'(F2) Shpenzimet sipas nenfunk.b'!B30</f>
        <v>045 Trasporti</v>
      </c>
      <c r="C30" s="759">
        <f>'(F2) Shpenzimet sipas nenfunk.b'!C30</f>
        <v>31582</v>
      </c>
      <c r="D30" s="740">
        <f>'KB 08'!J$19</f>
        <v>2957</v>
      </c>
      <c r="E30" s="740">
        <f>'KB 08'!J$27</f>
        <v>0</v>
      </c>
      <c r="F30" s="760">
        <f t="shared" si="6"/>
        <v>28625</v>
      </c>
      <c r="G30" s="759">
        <f>'(F2) Shpenzimet sipas nenfunk.b'!D30</f>
        <v>31582</v>
      </c>
      <c r="H30" s="740">
        <f>'KB 08'!K$19</f>
        <v>2957</v>
      </c>
      <c r="I30" s="740">
        <f>'KB 08'!K$27</f>
        <v>28625</v>
      </c>
      <c r="J30" s="760">
        <f t="shared" si="7"/>
        <v>0</v>
      </c>
      <c r="K30" s="759">
        <f>'(F2) Shpenzimet sipas nenfunk.b'!E30</f>
        <v>31582</v>
      </c>
      <c r="L30" s="740">
        <f>'KB 08'!L$19</f>
        <v>2957</v>
      </c>
      <c r="M30" s="740">
        <f>'KB 08'!L$27</f>
        <v>28625</v>
      </c>
      <c r="N30" s="760">
        <f t="shared" si="8"/>
        <v>0</v>
      </c>
      <c r="O30" s="759">
        <f>'(F2) Shpenzimet sipas nenfunk.b'!I30</f>
        <v>88487</v>
      </c>
      <c r="P30" s="740">
        <f>'KB 08'!M$19</f>
        <v>0</v>
      </c>
      <c r="Q30" s="740">
        <f>'KB 08'!M$27</f>
        <v>0</v>
      </c>
      <c r="R30" s="760">
        <f t="shared" si="9"/>
        <v>88487</v>
      </c>
      <c r="S30" s="759">
        <f>'(F2) Shpenzimet sipas nenfunk.b'!M30</f>
        <v>98487</v>
      </c>
      <c r="T30" s="740">
        <f>'KB 08'!N$19</f>
        <v>0</v>
      </c>
      <c r="U30" s="740">
        <f>'KB 08'!N$27</f>
        <v>0</v>
      </c>
      <c r="V30" s="760">
        <f t="shared" si="10"/>
        <v>98487</v>
      </c>
      <c r="W30" s="759">
        <f>'(F2) Shpenzimet sipas nenfunk.b'!Q30</f>
        <v>128486</v>
      </c>
      <c r="X30" s="740">
        <f>'KB 08'!O$19</f>
        <v>0</v>
      </c>
      <c r="Y30" s="740">
        <f>'KB 08'!O$27</f>
        <v>0</v>
      </c>
      <c r="Z30" s="760">
        <f t="shared" si="11"/>
        <v>128486</v>
      </c>
    </row>
    <row r="31" spans="1:26" s="104" customFormat="1" ht="15" customHeight="1" x14ac:dyDescent="0.2">
      <c r="A31" s="731" t="str">
        <f>'(F2) Shpenzimet sipas nenfunk.b'!A31</f>
        <v>04520</v>
      </c>
      <c r="B31" s="788" t="str">
        <f>'(F2) Shpenzimet sipas nenfunk.b'!B31</f>
        <v>Rrjeti rrugor rural</v>
      </c>
      <c r="C31" s="761">
        <f>'(F2) Shpenzimet sipas nenfunk.b'!C31</f>
        <v>31582</v>
      </c>
      <c r="D31" s="153">
        <f>'KB 08'!J73</f>
        <v>2957</v>
      </c>
      <c r="E31" s="153">
        <f>'KB 08'!J80</f>
        <v>0</v>
      </c>
      <c r="F31" s="762">
        <f t="shared" si="6"/>
        <v>28625</v>
      </c>
      <c r="G31" s="761">
        <f>'(F2) Shpenzimet sipas nenfunk.b'!D31</f>
        <v>31582</v>
      </c>
      <c r="H31" s="153">
        <f>'KB 08'!K73</f>
        <v>2957</v>
      </c>
      <c r="I31" s="153">
        <f>'KB 08'!K80</f>
        <v>28625</v>
      </c>
      <c r="J31" s="762">
        <f t="shared" si="7"/>
        <v>0</v>
      </c>
      <c r="K31" s="761">
        <f>'(F2) Shpenzimet sipas nenfunk.b'!E31</f>
        <v>31582</v>
      </c>
      <c r="L31" s="153">
        <f>'KB 08'!L73</f>
        <v>2957</v>
      </c>
      <c r="M31" s="153">
        <f>'KB 08'!L80</f>
        <v>28625</v>
      </c>
      <c r="N31" s="762">
        <f t="shared" si="8"/>
        <v>0</v>
      </c>
      <c r="O31" s="761">
        <f>'(F2) Shpenzimet sipas nenfunk.b'!I31</f>
        <v>88487</v>
      </c>
      <c r="P31" s="153">
        <f>'KB 08'!M73</f>
        <v>0</v>
      </c>
      <c r="Q31" s="153">
        <f>'KB 08'!M80</f>
        <v>0</v>
      </c>
      <c r="R31" s="762">
        <f t="shared" si="9"/>
        <v>88487</v>
      </c>
      <c r="S31" s="761">
        <f>'(F2) Shpenzimet sipas nenfunk.b'!M31</f>
        <v>98487</v>
      </c>
      <c r="T31" s="153">
        <f>'KB 08'!N73</f>
        <v>0</v>
      </c>
      <c r="U31" s="153">
        <f>'KB 08'!N80</f>
        <v>0</v>
      </c>
      <c r="V31" s="762">
        <f t="shared" si="10"/>
        <v>98487</v>
      </c>
      <c r="W31" s="761">
        <f>'(F2) Shpenzimet sipas nenfunk.b'!Q31</f>
        <v>128486</v>
      </c>
      <c r="X31" s="153">
        <f>'KB 08'!O73</f>
        <v>0</v>
      </c>
      <c r="Y31" s="153">
        <f>'KB 08'!O80</f>
        <v>0</v>
      </c>
      <c r="Z31" s="762">
        <f t="shared" si="11"/>
        <v>128486</v>
      </c>
    </row>
    <row r="32" spans="1:26" s="104" customFormat="1" ht="15" hidden="1" customHeight="1" x14ac:dyDescent="0.2">
      <c r="A32" s="731" t="str">
        <f>'(F2) Shpenzimet sipas nenfunk.b'!A32</f>
        <v>04530</v>
      </c>
      <c r="B32" s="788" t="str">
        <f>'(F2) Shpenzimet sipas nenfunk.b'!B32</f>
        <v>Studimi i rrugëve</v>
      </c>
      <c r="C32" s="761">
        <f>'(F2) Shpenzimet sipas nenfunk.b'!C32</f>
        <v>0</v>
      </c>
      <c r="D32" s="153">
        <f>'KB 08'!J112</f>
        <v>0</v>
      </c>
      <c r="E32" s="153">
        <f>'KB 08'!J119</f>
        <v>0</v>
      </c>
      <c r="F32" s="762">
        <f t="shared" si="6"/>
        <v>0</v>
      </c>
      <c r="G32" s="761">
        <f>'(F2) Shpenzimet sipas nenfunk.b'!D32</f>
        <v>0</v>
      </c>
      <c r="H32" s="153">
        <f>'KB 08'!K112</f>
        <v>0</v>
      </c>
      <c r="I32" s="153">
        <f>'KB 08'!K119</f>
        <v>0</v>
      </c>
      <c r="J32" s="762">
        <f t="shared" si="7"/>
        <v>0</v>
      </c>
      <c r="K32" s="761">
        <f>'(F2) Shpenzimet sipas nenfunk.b'!E32</f>
        <v>0</v>
      </c>
      <c r="L32" s="153">
        <f>'KB 08'!L112</f>
        <v>0</v>
      </c>
      <c r="M32" s="153">
        <f>'KB 08'!L119</f>
        <v>0</v>
      </c>
      <c r="N32" s="762">
        <f t="shared" si="8"/>
        <v>0</v>
      </c>
      <c r="O32" s="761">
        <f>'(F2) Shpenzimet sipas nenfunk.b'!I32</f>
        <v>0</v>
      </c>
      <c r="P32" s="153">
        <f>'KB 08'!M112</f>
        <v>0</v>
      </c>
      <c r="Q32" s="153">
        <f>'KB 08'!M119</f>
        <v>0</v>
      </c>
      <c r="R32" s="762">
        <f t="shared" si="9"/>
        <v>0</v>
      </c>
      <c r="S32" s="761">
        <f>'(F2) Shpenzimet sipas nenfunk.b'!M32</f>
        <v>0</v>
      </c>
      <c r="T32" s="153">
        <f>'KB 08'!N112</f>
        <v>0</v>
      </c>
      <c r="U32" s="153">
        <f>'KB 08'!N119</f>
        <v>0</v>
      </c>
      <c r="V32" s="762">
        <f t="shared" si="10"/>
        <v>0</v>
      </c>
      <c r="W32" s="761">
        <f>'(F2) Shpenzimet sipas nenfunk.b'!Q32</f>
        <v>0</v>
      </c>
      <c r="X32" s="153">
        <f>'KB 08'!O112</f>
        <v>0</v>
      </c>
      <c r="Y32" s="153">
        <f>'KB 08'!O119</f>
        <v>0</v>
      </c>
      <c r="Z32" s="762">
        <f t="shared" si="11"/>
        <v>0</v>
      </c>
    </row>
    <row r="33" spans="1:26" s="104" customFormat="1" ht="15" customHeight="1" x14ac:dyDescent="0.2">
      <c r="A33" s="731" t="str">
        <f>'(F2) Shpenzimet sipas nenfunk.b'!A33</f>
        <v>04570</v>
      </c>
      <c r="B33" s="788" t="str">
        <f>'(F2) Shpenzimet sipas nenfunk.b'!B33</f>
        <v>Transporti publik</v>
      </c>
      <c r="C33" s="761">
        <f>'(F2) Shpenzimet sipas nenfunk.b'!C33</f>
        <v>0</v>
      </c>
      <c r="D33" s="153">
        <f>'KB 08'!J151</f>
        <v>0</v>
      </c>
      <c r="E33" s="153">
        <f>'KB 08'!J158</f>
        <v>0</v>
      </c>
      <c r="F33" s="762">
        <f t="shared" si="6"/>
        <v>0</v>
      </c>
      <c r="G33" s="761">
        <f>'(F2) Shpenzimet sipas nenfunk.b'!D33</f>
        <v>0</v>
      </c>
      <c r="H33" s="153">
        <f>'KB 08'!K151</f>
        <v>0</v>
      </c>
      <c r="I33" s="153">
        <f>'KB 08'!K158</f>
        <v>0</v>
      </c>
      <c r="J33" s="762">
        <f t="shared" si="7"/>
        <v>0</v>
      </c>
      <c r="K33" s="761">
        <f>'(F2) Shpenzimet sipas nenfunk.b'!E33</f>
        <v>0</v>
      </c>
      <c r="L33" s="153">
        <f>'KB 08'!L151</f>
        <v>0</v>
      </c>
      <c r="M33" s="153">
        <f>'KB 08'!L158</f>
        <v>0</v>
      </c>
      <c r="N33" s="762">
        <f t="shared" si="8"/>
        <v>0</v>
      </c>
      <c r="O33" s="761">
        <f>'(F2) Shpenzimet sipas nenfunk.b'!I33</f>
        <v>0</v>
      </c>
      <c r="P33" s="153">
        <f>'KB 08'!M151</f>
        <v>0</v>
      </c>
      <c r="Q33" s="153">
        <f>'KB 08'!M158</f>
        <v>0</v>
      </c>
      <c r="R33" s="762">
        <f t="shared" si="9"/>
        <v>0</v>
      </c>
      <c r="S33" s="761">
        <f>'(F2) Shpenzimet sipas nenfunk.b'!M33</f>
        <v>0</v>
      </c>
      <c r="T33" s="153">
        <f>'KB 08'!N151</f>
        <v>0</v>
      </c>
      <c r="U33" s="153">
        <f>'KB 08'!N158</f>
        <v>0</v>
      </c>
      <c r="V33" s="762">
        <f t="shared" si="10"/>
        <v>0</v>
      </c>
      <c r="W33" s="761">
        <f>'(F2) Shpenzimet sipas nenfunk.b'!Q33</f>
        <v>0</v>
      </c>
      <c r="X33" s="153">
        <f>'KB 08'!O151</f>
        <v>0</v>
      </c>
      <c r="Y33" s="153">
        <f>'KB 08'!O158</f>
        <v>0</v>
      </c>
      <c r="Z33" s="762">
        <f t="shared" si="11"/>
        <v>0</v>
      </c>
    </row>
    <row r="34" spans="1:26" ht="15" customHeight="1" x14ac:dyDescent="0.2">
      <c r="A34" s="730" t="str">
        <f>'(F2) Shpenzimet sipas nenfunk.b'!A34</f>
        <v>Nënfunksioni 9</v>
      </c>
      <c r="B34" s="757" t="str">
        <f>'(F2) Shpenzimet sipas nenfunk.b'!B34</f>
        <v>047 Industri të tjera</v>
      </c>
      <c r="C34" s="759">
        <f>'(F2) Shpenzimet sipas nenfunk.b'!C34</f>
        <v>0</v>
      </c>
      <c r="D34" s="740">
        <f>'KB 09'!J$19</f>
        <v>0</v>
      </c>
      <c r="E34" s="740">
        <f>'KB 09'!J$27</f>
        <v>0</v>
      </c>
      <c r="F34" s="760">
        <f t="shared" si="6"/>
        <v>0</v>
      </c>
      <c r="G34" s="759">
        <f>'(F2) Shpenzimet sipas nenfunk.b'!D34</f>
        <v>0</v>
      </c>
      <c r="H34" s="740">
        <f>'KB 09'!K$19</f>
        <v>0</v>
      </c>
      <c r="I34" s="740">
        <f>'KB 09'!K$27</f>
        <v>0</v>
      </c>
      <c r="J34" s="760">
        <f t="shared" si="7"/>
        <v>0</v>
      </c>
      <c r="K34" s="759">
        <f>'(F2) Shpenzimet sipas nenfunk.b'!E34</f>
        <v>0</v>
      </c>
      <c r="L34" s="740">
        <f>'KB 09'!L$19</f>
        <v>0</v>
      </c>
      <c r="M34" s="740">
        <f>'KB 09'!L$27</f>
        <v>0</v>
      </c>
      <c r="N34" s="760">
        <f t="shared" si="8"/>
        <v>0</v>
      </c>
      <c r="O34" s="759">
        <f>'(F2) Shpenzimet sipas nenfunk.b'!I34</f>
        <v>0</v>
      </c>
      <c r="P34" s="740">
        <f>'KB 09'!M$19</f>
        <v>0</v>
      </c>
      <c r="Q34" s="740">
        <f>'KB 09'!M$27</f>
        <v>0</v>
      </c>
      <c r="R34" s="760">
        <f t="shared" si="9"/>
        <v>0</v>
      </c>
      <c r="S34" s="759">
        <f>'(F2) Shpenzimet sipas nenfunk.b'!M34</f>
        <v>0</v>
      </c>
      <c r="T34" s="740">
        <f>'KB 09'!N$19</f>
        <v>0</v>
      </c>
      <c r="U34" s="740">
        <f>'KB 09'!N$27</f>
        <v>0</v>
      </c>
      <c r="V34" s="760">
        <f t="shared" si="10"/>
        <v>0</v>
      </c>
      <c r="W34" s="759">
        <f>'(F2) Shpenzimet sipas nenfunk.b'!Q34</f>
        <v>0</v>
      </c>
      <c r="X34" s="740">
        <f>'KB 09'!O$19</f>
        <v>0</v>
      </c>
      <c r="Y34" s="740">
        <f>'KB 09'!O$27</f>
        <v>0</v>
      </c>
      <c r="Z34" s="760">
        <f t="shared" si="11"/>
        <v>0</v>
      </c>
    </row>
    <row r="35" spans="1:26" s="104" customFormat="1" ht="15" customHeight="1" x14ac:dyDescent="0.2">
      <c r="A35" s="731" t="str">
        <f>'(F2) Shpenzimet sipas nenfunk.b'!A35</f>
        <v>04740</v>
      </c>
      <c r="B35" s="788" t="str">
        <f>'(F2) Shpenzimet sipas nenfunk.b'!B35</f>
        <v>Projekte Zhvillimi</v>
      </c>
      <c r="C35" s="761">
        <f>'(F2) Shpenzimet sipas nenfunk.b'!C35</f>
        <v>0</v>
      </c>
      <c r="D35" s="153">
        <f>'KB 09'!J73</f>
        <v>0</v>
      </c>
      <c r="E35" s="153">
        <f>'KB 09'!J80</f>
        <v>0</v>
      </c>
      <c r="F35" s="762">
        <f t="shared" si="6"/>
        <v>0</v>
      </c>
      <c r="G35" s="761">
        <f>'(F2) Shpenzimet sipas nenfunk.b'!D35</f>
        <v>0</v>
      </c>
      <c r="H35" s="153">
        <f>'KB 09'!K73</f>
        <v>0</v>
      </c>
      <c r="I35" s="153">
        <f>'KB 09'!K80</f>
        <v>0</v>
      </c>
      <c r="J35" s="762">
        <f t="shared" si="7"/>
        <v>0</v>
      </c>
      <c r="K35" s="761">
        <f>'(F2) Shpenzimet sipas nenfunk.b'!E35</f>
        <v>0</v>
      </c>
      <c r="L35" s="153">
        <f>'KB 09'!L73</f>
        <v>0</v>
      </c>
      <c r="M35" s="153">
        <f>'KB 09'!L80</f>
        <v>0</v>
      </c>
      <c r="N35" s="762">
        <f t="shared" si="8"/>
        <v>0</v>
      </c>
      <c r="O35" s="761">
        <f>'(F2) Shpenzimet sipas nenfunk.b'!I35</f>
        <v>0</v>
      </c>
      <c r="P35" s="153">
        <f>'KB 09'!M73</f>
        <v>0</v>
      </c>
      <c r="Q35" s="153">
        <f>'KB 09'!M80</f>
        <v>0</v>
      </c>
      <c r="R35" s="762">
        <f t="shared" si="9"/>
        <v>0</v>
      </c>
      <c r="S35" s="761">
        <f>'(F2) Shpenzimet sipas nenfunk.b'!M35</f>
        <v>0</v>
      </c>
      <c r="T35" s="153">
        <f>'KB 09'!N73</f>
        <v>0</v>
      </c>
      <c r="U35" s="153">
        <f>'KB 09'!NZ80</f>
        <v>0</v>
      </c>
      <c r="V35" s="762">
        <f t="shared" si="10"/>
        <v>0</v>
      </c>
      <c r="W35" s="761">
        <f>'(F2) Shpenzimet sipas nenfunk.b'!Q35</f>
        <v>0</v>
      </c>
      <c r="X35" s="153">
        <f>'KB 09'!O73</f>
        <v>0</v>
      </c>
      <c r="Y35" s="153">
        <f>'KB 09'!O80</f>
        <v>0</v>
      </c>
      <c r="Z35" s="762">
        <f t="shared" si="11"/>
        <v>0</v>
      </c>
    </row>
    <row r="36" spans="1:26" s="104" customFormat="1" ht="15" customHeight="1" x14ac:dyDescent="0.2">
      <c r="A36" s="731" t="str">
        <f>'(F2) Shpenzimet sipas nenfunk.b'!A36</f>
        <v>04760</v>
      </c>
      <c r="B36" s="788" t="str">
        <f>'(F2) Shpenzimet sipas nenfunk.b'!B36</f>
        <v>Zhvillimi i turizmit</v>
      </c>
      <c r="C36" s="761">
        <f>'(F2) Shpenzimet sipas nenfunk.b'!C36</f>
        <v>0</v>
      </c>
      <c r="D36" s="153">
        <f>'KB 09'!J112</f>
        <v>0</v>
      </c>
      <c r="E36" s="153">
        <f>'KB 09'!J119</f>
        <v>0</v>
      </c>
      <c r="F36" s="762">
        <f>C36-D36-E36</f>
        <v>0</v>
      </c>
      <c r="G36" s="761">
        <f>'(F2) Shpenzimet sipas nenfunk.b'!D36</f>
        <v>0</v>
      </c>
      <c r="H36" s="153">
        <f>'KB 09'!K112</f>
        <v>0</v>
      </c>
      <c r="I36" s="153">
        <f>'KB 09'!K119</f>
        <v>0</v>
      </c>
      <c r="J36" s="762">
        <f t="shared" si="7"/>
        <v>0</v>
      </c>
      <c r="K36" s="761">
        <f>'(F2) Shpenzimet sipas nenfunk.b'!E36</f>
        <v>0</v>
      </c>
      <c r="L36" s="153">
        <f>'KB 09'!L112</f>
        <v>0</v>
      </c>
      <c r="M36" s="153">
        <f>'KB 09'!L119</f>
        <v>0</v>
      </c>
      <c r="N36" s="762">
        <f t="shared" si="8"/>
        <v>0</v>
      </c>
      <c r="O36" s="761">
        <f>'(F2) Shpenzimet sipas nenfunk.b'!I36</f>
        <v>0</v>
      </c>
      <c r="P36" s="153">
        <f>'KB 09'!M112</f>
        <v>0</v>
      </c>
      <c r="Q36" s="153">
        <f>'KB 09'!M119</f>
        <v>0</v>
      </c>
      <c r="R36" s="762">
        <f t="shared" si="9"/>
        <v>0</v>
      </c>
      <c r="S36" s="761">
        <f>'(F2) Shpenzimet sipas nenfunk.b'!M36</f>
        <v>0</v>
      </c>
      <c r="T36" s="153">
        <f>'KB 09'!N112</f>
        <v>0</v>
      </c>
      <c r="U36" s="153">
        <f>'KB 09'!N119</f>
        <v>0</v>
      </c>
      <c r="V36" s="762">
        <f t="shared" si="10"/>
        <v>0</v>
      </c>
      <c r="W36" s="761">
        <f>'(F2) Shpenzimet sipas nenfunk.b'!Q36</f>
        <v>0</v>
      </c>
      <c r="X36" s="153">
        <f>'KB 09'!O112</f>
        <v>0</v>
      </c>
      <c r="Y36" s="153">
        <f>'KB 09'!O119</f>
        <v>0</v>
      </c>
      <c r="Z36" s="762">
        <f t="shared" si="11"/>
        <v>0</v>
      </c>
    </row>
    <row r="37" spans="1:26" ht="15" customHeight="1" x14ac:dyDescent="0.2">
      <c r="A37" s="730" t="str">
        <f>'(F2) Shpenzimet sipas nenfunk.b'!A37</f>
        <v>Nënfunksioni 10</v>
      </c>
      <c r="B37" s="757" t="str">
        <f>'(F2) Shpenzimet sipas nenfunk.b'!B37</f>
        <v>051 Menaxhimi i i mbetjeve</v>
      </c>
      <c r="C37" s="759">
        <f>'(F2) Shpenzimet sipas nenfunk.b'!C37</f>
        <v>0</v>
      </c>
      <c r="D37" s="740">
        <f>'KB 10'!J$19</f>
        <v>0</v>
      </c>
      <c r="E37" s="740">
        <f>'KB 10'!J$27</f>
        <v>0</v>
      </c>
      <c r="F37" s="760">
        <f t="shared" si="6"/>
        <v>0</v>
      </c>
      <c r="G37" s="759">
        <f>'(F2) Shpenzimet sipas nenfunk.b'!D37</f>
        <v>0</v>
      </c>
      <c r="H37" s="740">
        <f>'KB 10'!K$19</f>
        <v>0</v>
      </c>
      <c r="I37" s="740">
        <f>'KB 10'!K$27</f>
        <v>0</v>
      </c>
      <c r="J37" s="760">
        <f t="shared" si="7"/>
        <v>0</v>
      </c>
      <c r="K37" s="759">
        <f>'(F2) Shpenzimet sipas nenfunk.b'!E37</f>
        <v>0</v>
      </c>
      <c r="L37" s="740">
        <f>'KB 10'!L$19</f>
        <v>0</v>
      </c>
      <c r="M37" s="740">
        <f>'KB 10'!L$27</f>
        <v>0</v>
      </c>
      <c r="N37" s="760">
        <f t="shared" si="8"/>
        <v>0</v>
      </c>
      <c r="O37" s="759">
        <f>'(F2) Shpenzimet sipas nenfunk.b'!I37</f>
        <v>23610</v>
      </c>
      <c r="P37" s="740">
        <f>'KB 10'!M$19</f>
        <v>0</v>
      </c>
      <c r="Q37" s="740">
        <f>'KB 10'!M$27</f>
        <v>0</v>
      </c>
      <c r="R37" s="760">
        <f t="shared" si="9"/>
        <v>23610</v>
      </c>
      <c r="S37" s="759">
        <f>'(F2) Shpenzimet sipas nenfunk.b'!M37</f>
        <v>24610</v>
      </c>
      <c r="T37" s="740">
        <f>'KB 10'!N$19</f>
        <v>0</v>
      </c>
      <c r="U37" s="740">
        <f>'KB 10'!N$27</f>
        <v>0</v>
      </c>
      <c r="V37" s="760">
        <f t="shared" si="10"/>
        <v>24610</v>
      </c>
      <c r="W37" s="759">
        <f>'(F2) Shpenzimet sipas nenfunk.b'!Q37</f>
        <v>24110</v>
      </c>
      <c r="X37" s="740">
        <f>'KB 10'!O$19</f>
        <v>0</v>
      </c>
      <c r="Y37" s="740">
        <f>'KB 10'!O$27</f>
        <v>0</v>
      </c>
      <c r="Z37" s="760">
        <f t="shared" si="11"/>
        <v>24110</v>
      </c>
    </row>
    <row r="38" spans="1:26" s="104" customFormat="1" ht="15" customHeight="1" x14ac:dyDescent="0.2">
      <c r="A38" s="731" t="str">
        <f>'(F2) Shpenzimet sipas nenfunk.b'!A38</f>
        <v>05100</v>
      </c>
      <c r="B38" s="788" t="str">
        <f>'(F2) Shpenzimet sipas nenfunk.b'!B38</f>
        <v>Menaxhimi i mbetjeve</v>
      </c>
      <c r="C38" s="761">
        <f>'(F2) Shpenzimet sipas nenfunk.b'!C38</f>
        <v>0</v>
      </c>
      <c r="D38" s="153">
        <f>'KB 10'!J73</f>
        <v>0</v>
      </c>
      <c r="E38" s="153">
        <f>'KB 10'!J80</f>
        <v>0</v>
      </c>
      <c r="F38" s="762">
        <f t="shared" si="6"/>
        <v>0</v>
      </c>
      <c r="G38" s="761">
        <f>'(F2) Shpenzimet sipas nenfunk.b'!D38</f>
        <v>0</v>
      </c>
      <c r="H38" s="153">
        <f>'KB 10'!K73</f>
        <v>0</v>
      </c>
      <c r="I38" s="153">
        <f>'KB 10'!K80</f>
        <v>0</v>
      </c>
      <c r="J38" s="762">
        <f t="shared" si="7"/>
        <v>0</v>
      </c>
      <c r="K38" s="761">
        <f>'(F2) Shpenzimet sipas nenfunk.b'!E38</f>
        <v>0</v>
      </c>
      <c r="L38" s="153">
        <f>'KB 10'!L73</f>
        <v>0</v>
      </c>
      <c r="M38" s="153">
        <f>'KB 10'!L80</f>
        <v>0</v>
      </c>
      <c r="N38" s="762">
        <f t="shared" si="8"/>
        <v>0</v>
      </c>
      <c r="O38" s="761">
        <f>'(F2) Shpenzimet sipas nenfunk.b'!I38</f>
        <v>23610</v>
      </c>
      <c r="P38" s="153">
        <f>'KB 10'!M73</f>
        <v>0</v>
      </c>
      <c r="Q38" s="153">
        <f>'KB 10'!M80</f>
        <v>0</v>
      </c>
      <c r="R38" s="762">
        <f t="shared" si="9"/>
        <v>23610</v>
      </c>
      <c r="S38" s="761">
        <f>'(F2) Shpenzimet sipas nenfunk.b'!M38</f>
        <v>24610</v>
      </c>
      <c r="T38" s="153">
        <f>'KB 10'!N73</f>
        <v>0</v>
      </c>
      <c r="U38" s="153">
        <f>'KB 10'!N80</f>
        <v>0</v>
      </c>
      <c r="V38" s="762">
        <f t="shared" si="10"/>
        <v>24610</v>
      </c>
      <c r="W38" s="761">
        <f>'(F2) Shpenzimet sipas nenfunk.b'!Q38</f>
        <v>24110</v>
      </c>
      <c r="X38" s="153">
        <f>'KB 10'!O73</f>
        <v>0</v>
      </c>
      <c r="Y38" s="153">
        <f>'KB 10'!O80</f>
        <v>0</v>
      </c>
      <c r="Z38" s="762"/>
    </row>
    <row r="39" spans="1:26" ht="15" customHeight="1" x14ac:dyDescent="0.2">
      <c r="A39" s="730" t="str">
        <f>'(F2) Shpenzimet sipas nenfunk.b'!A39</f>
        <v>Nënfunksioni 11</v>
      </c>
      <c r="B39" s="757" t="str">
        <f>'(F2) Shpenzimet sipas nenfunk.b'!B39</f>
        <v>052 Menaxhimi i ujrave të zeza</v>
      </c>
      <c r="C39" s="759">
        <f>'(F2) Shpenzimet sipas nenfunk.b'!C39</f>
        <v>0</v>
      </c>
      <c r="D39" s="740">
        <f>'KB 11'!J$19</f>
        <v>0</v>
      </c>
      <c r="E39" s="740">
        <f>'KB 11'!J$27</f>
        <v>0</v>
      </c>
      <c r="F39" s="760">
        <f t="shared" si="6"/>
        <v>0</v>
      </c>
      <c r="G39" s="759">
        <f>'(F2) Shpenzimet sipas nenfunk.b'!D39</f>
        <v>0</v>
      </c>
      <c r="H39" s="740">
        <f>'KB 11'!K$19</f>
        <v>0</v>
      </c>
      <c r="I39" s="740">
        <f>'KB 11'!K$27</f>
        <v>0</v>
      </c>
      <c r="J39" s="760">
        <f t="shared" si="7"/>
        <v>0</v>
      </c>
      <c r="K39" s="759">
        <f>'(F2) Shpenzimet sipas nenfunk.b'!E39</f>
        <v>0</v>
      </c>
      <c r="L39" s="740">
        <f>'KB 11'!L$19</f>
        <v>0</v>
      </c>
      <c r="M39" s="740">
        <f>'KB 11'!L$27</f>
        <v>0</v>
      </c>
      <c r="N39" s="760">
        <f t="shared" si="8"/>
        <v>0</v>
      </c>
      <c r="O39" s="759">
        <f>'(F2) Shpenzimet sipas nenfunk.b'!I39</f>
        <v>0</v>
      </c>
      <c r="P39" s="740">
        <f>'KB 11'!M$19</f>
        <v>0</v>
      </c>
      <c r="Q39" s="740">
        <f>'KB 11'!M$27</f>
        <v>0</v>
      </c>
      <c r="R39" s="760">
        <f t="shared" si="9"/>
        <v>0</v>
      </c>
      <c r="S39" s="759">
        <f>'(F2) Shpenzimet sipas nenfunk.b'!M39</f>
        <v>0</v>
      </c>
      <c r="T39" s="740">
        <f>'KB 11'!N$19</f>
        <v>0</v>
      </c>
      <c r="U39" s="740">
        <f>'KB 11'!N$27</f>
        <v>0</v>
      </c>
      <c r="V39" s="760">
        <f t="shared" si="10"/>
        <v>0</v>
      </c>
      <c r="W39" s="759">
        <f>'(F2) Shpenzimet sipas nenfunk.b'!Q39</f>
        <v>0</v>
      </c>
      <c r="X39" s="740">
        <f>'KB 11'!O$19</f>
        <v>0</v>
      </c>
      <c r="Y39" s="740">
        <f>'KB 11'!O$27</f>
        <v>0</v>
      </c>
      <c r="Z39" s="760">
        <f t="shared" si="11"/>
        <v>0</v>
      </c>
    </row>
    <row r="40" spans="1:26" s="104" customFormat="1" ht="15" customHeight="1" x14ac:dyDescent="0.2">
      <c r="A40" s="731" t="str">
        <f>'(F2) Shpenzimet sipas nenfunk.b'!A40</f>
        <v>05200</v>
      </c>
      <c r="B40" s="788" t="str">
        <f>'(F2) Shpenzimet sipas nenfunk.b'!B40</f>
        <v>Menaxhimi i ujrave të zeza dhe kanalizimeve</v>
      </c>
      <c r="C40" s="761">
        <f>'(F2) Shpenzimet sipas nenfunk.b'!C40</f>
        <v>0</v>
      </c>
      <c r="D40" s="153">
        <f>'KB 11'!J73</f>
        <v>0</v>
      </c>
      <c r="E40" s="153">
        <f>'KB 11'!J80</f>
        <v>0</v>
      </c>
      <c r="F40" s="762">
        <f>C40-D40-E40</f>
        <v>0</v>
      </c>
      <c r="G40" s="761">
        <f>'(F2) Shpenzimet sipas nenfunk.b'!D40</f>
        <v>0</v>
      </c>
      <c r="H40" s="153">
        <f>'KB 11'!K73</f>
        <v>0</v>
      </c>
      <c r="I40" s="153">
        <f>'KB 11'!K80</f>
        <v>0</v>
      </c>
      <c r="J40" s="762">
        <f t="shared" si="7"/>
        <v>0</v>
      </c>
      <c r="K40" s="761">
        <f>'(F2) Shpenzimet sipas nenfunk.b'!E40</f>
        <v>0</v>
      </c>
      <c r="L40" s="153">
        <f>'KB 11'!L73</f>
        <v>0</v>
      </c>
      <c r="M40" s="153">
        <f>'KB 11'!L80</f>
        <v>0</v>
      </c>
      <c r="N40" s="762">
        <f t="shared" si="8"/>
        <v>0</v>
      </c>
      <c r="O40" s="761">
        <f>'(F2) Shpenzimet sipas nenfunk.b'!I40</f>
        <v>0</v>
      </c>
      <c r="P40" s="153">
        <f>'KB 11'!M73</f>
        <v>0</v>
      </c>
      <c r="Q40" s="153">
        <f>'KB 11'!M80</f>
        <v>0</v>
      </c>
      <c r="R40" s="762">
        <f t="shared" si="9"/>
        <v>0</v>
      </c>
      <c r="S40" s="761">
        <f>'(F2) Shpenzimet sipas nenfunk.b'!M40</f>
        <v>0</v>
      </c>
      <c r="T40" s="153">
        <f>'KB 11'!N73</f>
        <v>0</v>
      </c>
      <c r="U40" s="153">
        <f>'KB 11'!N80</f>
        <v>0</v>
      </c>
      <c r="V40" s="762">
        <f t="shared" si="10"/>
        <v>0</v>
      </c>
      <c r="W40" s="761">
        <f>'(F2) Shpenzimet sipas nenfunk.b'!Q40</f>
        <v>0</v>
      </c>
      <c r="X40" s="153">
        <f>'KB 11'!O73</f>
        <v>0</v>
      </c>
      <c r="Y40" s="153">
        <f>'KB 11'!O80</f>
        <v>0</v>
      </c>
      <c r="Z40" s="762">
        <f t="shared" si="11"/>
        <v>0</v>
      </c>
    </row>
    <row r="41" spans="1:26" ht="15" customHeight="1" x14ac:dyDescent="0.2">
      <c r="A41" s="730" t="str">
        <f>'(F2) Shpenzimet sipas nenfunk.b'!A41</f>
        <v>Nënfunksioni 12</v>
      </c>
      <c r="B41" s="757" t="str">
        <f>'(F2) Shpenzimet sipas nenfunk.b'!B41</f>
        <v>053 Reduktimi i ndotjes</v>
      </c>
      <c r="C41" s="759">
        <f>'(F2) Shpenzimet sipas nenfunk.b'!C41</f>
        <v>0</v>
      </c>
      <c r="D41" s="740">
        <f>'KB 12'!J$19</f>
        <v>0</v>
      </c>
      <c r="E41" s="740">
        <f>'KB 12'!J$27</f>
        <v>0</v>
      </c>
      <c r="F41" s="760">
        <f t="shared" si="6"/>
        <v>0</v>
      </c>
      <c r="G41" s="759">
        <f>'(F2) Shpenzimet sipas nenfunk.b'!D41</f>
        <v>0</v>
      </c>
      <c r="H41" s="740">
        <f>'KB 12'!K$19</f>
        <v>0</v>
      </c>
      <c r="I41" s="740">
        <f>'KB 12'!K$27</f>
        <v>0</v>
      </c>
      <c r="J41" s="760">
        <f t="shared" si="7"/>
        <v>0</v>
      </c>
      <c r="K41" s="759">
        <f>'(F2) Shpenzimet sipas nenfunk.b'!E41</f>
        <v>0</v>
      </c>
      <c r="L41" s="740">
        <f>'KB 12'!L$19</f>
        <v>0</v>
      </c>
      <c r="M41" s="740">
        <f>'KB 12'!L$27</f>
        <v>0</v>
      </c>
      <c r="N41" s="760">
        <f t="shared" si="8"/>
        <v>0</v>
      </c>
      <c r="O41" s="759">
        <f>'(F2) Shpenzimet sipas nenfunk.b'!I41</f>
        <v>0</v>
      </c>
      <c r="P41" s="740">
        <f>'KB 12'!M$19</f>
        <v>0</v>
      </c>
      <c r="Q41" s="740">
        <f>'KB 12'!M$27</f>
        <v>0</v>
      </c>
      <c r="R41" s="760">
        <f t="shared" si="9"/>
        <v>0</v>
      </c>
      <c r="S41" s="759">
        <f>'(F2) Shpenzimet sipas nenfunk.b'!M41</f>
        <v>0</v>
      </c>
      <c r="T41" s="740">
        <f>'KB 12'!N$19</f>
        <v>0</v>
      </c>
      <c r="U41" s="740">
        <f>'KB 12'!N$27</f>
        <v>0</v>
      </c>
      <c r="V41" s="760">
        <f t="shared" si="10"/>
        <v>0</v>
      </c>
      <c r="W41" s="759">
        <f>'(F2) Shpenzimet sipas nenfunk.b'!Q41</f>
        <v>0</v>
      </c>
      <c r="X41" s="740">
        <f>'KB 12'!O$19</f>
        <v>0</v>
      </c>
      <c r="Y41" s="740">
        <f>'KB 12'!O$27</f>
        <v>0</v>
      </c>
      <c r="Z41" s="760">
        <f t="shared" si="11"/>
        <v>0</v>
      </c>
    </row>
    <row r="42" spans="1:26" s="104" customFormat="1" ht="15" customHeight="1" x14ac:dyDescent="0.2">
      <c r="A42" s="731" t="str">
        <f>'(F2) Shpenzimet sipas nenfunk.b'!A42</f>
        <v>05320</v>
      </c>
      <c r="B42" s="788" t="str">
        <f>'(F2) Shpenzimet sipas nenfunk.b'!B42</f>
        <v>Programet e mbrojtjes së mjedisit</v>
      </c>
      <c r="C42" s="761">
        <f>'(F2) Shpenzimet sipas nenfunk.b'!C42</f>
        <v>0</v>
      </c>
      <c r="D42" s="153">
        <f>'KB 12'!J73</f>
        <v>0</v>
      </c>
      <c r="E42" s="153">
        <f>'KB 12'!J80</f>
        <v>0</v>
      </c>
      <c r="F42" s="762">
        <f>C42-D42-E42</f>
        <v>0</v>
      </c>
      <c r="G42" s="761">
        <f>'(F2) Shpenzimet sipas nenfunk.b'!D42</f>
        <v>0</v>
      </c>
      <c r="H42" s="153">
        <f>'KB 12'!K73</f>
        <v>0</v>
      </c>
      <c r="I42" s="153">
        <f>'KB 12'!K80</f>
        <v>0</v>
      </c>
      <c r="J42" s="762">
        <f t="shared" si="7"/>
        <v>0</v>
      </c>
      <c r="K42" s="761">
        <f>'(F2) Shpenzimet sipas nenfunk.b'!E42</f>
        <v>0</v>
      </c>
      <c r="L42" s="153">
        <f>'KB 12'!L73</f>
        <v>0</v>
      </c>
      <c r="M42" s="153">
        <f>'KB 12'!L80</f>
        <v>0</v>
      </c>
      <c r="N42" s="762">
        <f t="shared" si="8"/>
        <v>0</v>
      </c>
      <c r="O42" s="761">
        <f>'(F2) Shpenzimet sipas nenfunk.b'!I42</f>
        <v>0</v>
      </c>
      <c r="P42" s="153">
        <f>'KB 12'!M73</f>
        <v>0</v>
      </c>
      <c r="Q42" s="153">
        <f>'KB 12'!M80</f>
        <v>0</v>
      </c>
      <c r="R42" s="762">
        <f t="shared" si="9"/>
        <v>0</v>
      </c>
      <c r="S42" s="761">
        <f>'(F2) Shpenzimet sipas nenfunk.b'!M42</f>
        <v>0</v>
      </c>
      <c r="T42" s="153">
        <f>'KB 12'!N73</f>
        <v>0</v>
      </c>
      <c r="U42" s="153">
        <f>'KB 12'!N80</f>
        <v>0</v>
      </c>
      <c r="V42" s="762">
        <f t="shared" si="10"/>
        <v>0</v>
      </c>
      <c r="W42" s="761">
        <f>'(F2) Shpenzimet sipas nenfunk.b'!Q42</f>
        <v>0</v>
      </c>
      <c r="X42" s="153">
        <f>'KB 12'!O73</f>
        <v>0</v>
      </c>
      <c r="Y42" s="153">
        <f>'KB 12'!O80</f>
        <v>0</v>
      </c>
      <c r="Z42" s="762">
        <f t="shared" si="11"/>
        <v>0</v>
      </c>
    </row>
    <row r="43" spans="1:26" ht="15" customHeight="1" x14ac:dyDescent="0.2">
      <c r="A43" s="730" t="str">
        <f>'(F2) Shpenzimet sipas nenfunk.b'!A43</f>
        <v>Nënfunksioni 13</v>
      </c>
      <c r="B43" s="757" t="str">
        <f>'(F2) Shpenzimet sipas nenfunk.b'!B43</f>
        <v>056 Mbrojtja e mjedisit</v>
      </c>
      <c r="C43" s="759">
        <f>'(F2) Shpenzimet sipas nenfunk.b'!C43</f>
        <v>0</v>
      </c>
      <c r="D43" s="740">
        <f>'KB 13'!J$19</f>
        <v>0</v>
      </c>
      <c r="E43" s="740">
        <f>'KB 13'!J$27</f>
        <v>0</v>
      </c>
      <c r="F43" s="760">
        <f>C43-D43-E43</f>
        <v>0</v>
      </c>
      <c r="G43" s="759">
        <f>'(F2) Shpenzimet sipas nenfunk.b'!D43</f>
        <v>0</v>
      </c>
      <c r="H43" s="740">
        <f>'KB 13'!K$19</f>
        <v>0</v>
      </c>
      <c r="I43" s="740">
        <f>'KB 13'!K$27</f>
        <v>0</v>
      </c>
      <c r="J43" s="760">
        <f t="shared" si="7"/>
        <v>0</v>
      </c>
      <c r="K43" s="759">
        <f>'(F2) Shpenzimet sipas nenfunk.b'!E43</f>
        <v>0</v>
      </c>
      <c r="L43" s="740">
        <f>'KB 13'!L$19</f>
        <v>0</v>
      </c>
      <c r="M43" s="740">
        <f>'KB 13'!L$27</f>
        <v>0</v>
      </c>
      <c r="N43" s="760">
        <f t="shared" si="8"/>
        <v>0</v>
      </c>
      <c r="O43" s="759">
        <f>'(F2) Shpenzimet sipas nenfunk.b'!I43</f>
        <v>0</v>
      </c>
      <c r="P43" s="740">
        <f>'KB 13'!M$19</f>
        <v>0</v>
      </c>
      <c r="Q43" s="740">
        <f>'KB 13'!M$27</f>
        <v>0</v>
      </c>
      <c r="R43" s="760">
        <f t="shared" si="9"/>
        <v>0</v>
      </c>
      <c r="S43" s="759">
        <f>'(F2) Shpenzimet sipas nenfunk.b'!M43</f>
        <v>0</v>
      </c>
      <c r="T43" s="740">
        <f>'KB 13'!N$19</f>
        <v>0</v>
      </c>
      <c r="U43" s="740">
        <f>'KB 13'!N$27</f>
        <v>0</v>
      </c>
      <c r="V43" s="760">
        <f t="shared" si="10"/>
        <v>0</v>
      </c>
      <c r="W43" s="759">
        <f>'(F2) Shpenzimet sipas nenfunk.b'!Q43</f>
        <v>0</v>
      </c>
      <c r="X43" s="740">
        <f>'KB 13'!O$19</f>
        <v>0</v>
      </c>
      <c r="Y43" s="740">
        <f>'KB 13'!O$27</f>
        <v>0</v>
      </c>
      <c r="Z43" s="760">
        <f t="shared" si="11"/>
        <v>0</v>
      </c>
    </row>
    <row r="44" spans="1:26" s="104" customFormat="1" ht="15" customHeight="1" x14ac:dyDescent="0.2">
      <c r="A44" s="731" t="str">
        <f>'(F2) Shpenzimet sipas nenfunk.b'!A44</f>
        <v>05630</v>
      </c>
      <c r="B44" s="788" t="str">
        <f>'(F2) Shpenzimet sipas nenfunk.b'!B44</f>
        <v>Ndërgjegjësimi mjedisor</v>
      </c>
      <c r="C44" s="761">
        <f>'(F2) Shpenzimet sipas nenfunk.b'!C44</f>
        <v>0</v>
      </c>
      <c r="D44" s="153">
        <f>'KB 13'!J73</f>
        <v>0</v>
      </c>
      <c r="E44" s="153">
        <f>'KB 13'!J80</f>
        <v>0</v>
      </c>
      <c r="F44" s="762">
        <f t="shared" ref="F44" si="12">C44-D44-E44</f>
        <v>0</v>
      </c>
      <c r="G44" s="761">
        <f>'(F2) Shpenzimet sipas nenfunk.b'!D44</f>
        <v>0</v>
      </c>
      <c r="H44" s="153">
        <f>'KB 13'!K73</f>
        <v>0</v>
      </c>
      <c r="I44" s="153">
        <f>'KB 13'!K80</f>
        <v>0</v>
      </c>
      <c r="J44" s="762">
        <f t="shared" si="7"/>
        <v>0</v>
      </c>
      <c r="K44" s="761">
        <f>'(F2) Shpenzimet sipas nenfunk.b'!E44</f>
        <v>0</v>
      </c>
      <c r="L44" s="153">
        <f>'KB 13'!L73</f>
        <v>0</v>
      </c>
      <c r="M44" s="153">
        <f>'KB 13'!L80</f>
        <v>0</v>
      </c>
      <c r="N44" s="762">
        <f t="shared" si="8"/>
        <v>0</v>
      </c>
      <c r="O44" s="761">
        <f>'(F2) Shpenzimet sipas nenfunk.b'!I44</f>
        <v>0</v>
      </c>
      <c r="P44" s="153">
        <f>'KB 13'!M73</f>
        <v>0</v>
      </c>
      <c r="Q44" s="153">
        <f>'KB 13'!M80</f>
        <v>0</v>
      </c>
      <c r="R44" s="762">
        <f t="shared" si="9"/>
        <v>0</v>
      </c>
      <c r="S44" s="761">
        <f>'(F2) Shpenzimet sipas nenfunk.b'!M44</f>
        <v>0</v>
      </c>
      <c r="T44" s="153">
        <f>'KB 13'!N73</f>
        <v>0</v>
      </c>
      <c r="U44" s="153">
        <f>'KB 13'!N80</f>
        <v>0</v>
      </c>
      <c r="V44" s="762">
        <f t="shared" si="10"/>
        <v>0</v>
      </c>
      <c r="W44" s="761">
        <f>'(F2) Shpenzimet sipas nenfunk.b'!Q44</f>
        <v>0</v>
      </c>
      <c r="X44" s="153">
        <f>'KB 13'!O73</f>
        <v>0</v>
      </c>
      <c r="Y44" s="153">
        <f>'KB 13'!O80</f>
        <v>0</v>
      </c>
      <c r="Z44" s="762">
        <f t="shared" si="11"/>
        <v>0</v>
      </c>
    </row>
    <row r="45" spans="1:26" s="104" customFormat="1" ht="15" hidden="1" customHeight="1" x14ac:dyDescent="0.2">
      <c r="A45" s="731" t="str">
        <f>'(F2) Shpenzimet sipas nenfunk.b'!A45</f>
        <v>05640</v>
      </c>
      <c r="B45" s="788" t="str">
        <f>'(F2) Shpenzimet sipas nenfunk.b'!B45</f>
        <v>Administrimi i resurseve ujore</v>
      </c>
      <c r="C45" s="761">
        <f>'(F2) Shpenzimet sipas nenfunk.b'!C45</f>
        <v>0</v>
      </c>
      <c r="D45" s="153">
        <f>'KB 13'!J112</f>
        <v>0</v>
      </c>
      <c r="E45" s="153">
        <f>'KB 13'!J119</f>
        <v>0</v>
      </c>
      <c r="F45" s="762">
        <f>C45-D45-E45</f>
        <v>0</v>
      </c>
      <c r="G45" s="761">
        <f>'(F2) Shpenzimet sipas nenfunk.b'!D45</f>
        <v>0</v>
      </c>
      <c r="H45" s="153">
        <f>'KB 13'!K112</f>
        <v>0</v>
      </c>
      <c r="I45" s="153">
        <f>'KB 13'!K119</f>
        <v>0</v>
      </c>
      <c r="J45" s="762">
        <f t="shared" si="7"/>
        <v>0</v>
      </c>
      <c r="K45" s="761">
        <f>'(F2) Shpenzimet sipas nenfunk.b'!E45</f>
        <v>0</v>
      </c>
      <c r="L45" s="153">
        <f>'KB 13'!L112</f>
        <v>0</v>
      </c>
      <c r="M45" s="153">
        <f>'KB 13'!L119</f>
        <v>0</v>
      </c>
      <c r="N45" s="762">
        <f t="shared" si="8"/>
        <v>0</v>
      </c>
      <c r="O45" s="761">
        <f>'(F2) Shpenzimet sipas nenfunk.b'!I45</f>
        <v>0</v>
      </c>
      <c r="P45" s="153">
        <f>'KB 13'!M112</f>
        <v>0</v>
      </c>
      <c r="Q45" s="153">
        <f>'KB 13'!M119</f>
        <v>0</v>
      </c>
      <c r="R45" s="762">
        <f t="shared" si="9"/>
        <v>0</v>
      </c>
      <c r="S45" s="761">
        <f>'(F2) Shpenzimet sipas nenfunk.b'!M45</f>
        <v>0</v>
      </c>
      <c r="T45" s="153">
        <f>'KB 13'!N112</f>
        <v>0</v>
      </c>
      <c r="U45" s="153">
        <f>'KB 13'!N119</f>
        <v>0</v>
      </c>
      <c r="V45" s="762">
        <f t="shared" si="10"/>
        <v>0</v>
      </c>
      <c r="W45" s="761">
        <f>'(F2) Shpenzimet sipas nenfunk.b'!Q45</f>
        <v>0</v>
      </c>
      <c r="X45" s="153">
        <f>'KB 13'!O112</f>
        <v>0</v>
      </c>
      <c r="Y45" s="153">
        <f>'KB 13'!O119</f>
        <v>0</v>
      </c>
      <c r="Z45" s="762">
        <f t="shared" si="11"/>
        <v>0</v>
      </c>
    </row>
    <row r="46" spans="1:26" ht="15" customHeight="1" x14ac:dyDescent="0.2">
      <c r="A46" s="730" t="str">
        <f>'(F2) Shpenzimet sipas nenfunk.b'!A46</f>
        <v>Nënfunksioni 14</v>
      </c>
      <c r="B46" s="757" t="str">
        <f>'(F2) Shpenzimet sipas nenfunk.b'!B46</f>
        <v>061 Urbanistika</v>
      </c>
      <c r="C46" s="759">
        <f>'(F2) Shpenzimet sipas nenfunk.b'!C46</f>
        <v>0</v>
      </c>
      <c r="D46" s="740">
        <f>'KB 14'!J$19</f>
        <v>0</v>
      </c>
      <c r="E46" s="740">
        <f>'KB 14'!J$27</f>
        <v>0</v>
      </c>
      <c r="F46" s="760">
        <f t="shared" si="6"/>
        <v>0</v>
      </c>
      <c r="G46" s="759">
        <f>'(F2) Shpenzimet sipas nenfunk.b'!D46</f>
        <v>0</v>
      </c>
      <c r="H46" s="740">
        <f>'KB 14'!K$19</f>
        <v>0</v>
      </c>
      <c r="I46" s="740">
        <f>'KB 14'!K$27</f>
        <v>0</v>
      </c>
      <c r="J46" s="760">
        <f t="shared" si="7"/>
        <v>0</v>
      </c>
      <c r="K46" s="759">
        <f>'(F2) Shpenzimet sipas nenfunk.b'!E46</f>
        <v>0</v>
      </c>
      <c r="L46" s="740">
        <f>'KB 14'!L$19</f>
        <v>0</v>
      </c>
      <c r="M46" s="740">
        <f>'KB 14'!L$27</f>
        <v>0</v>
      </c>
      <c r="N46" s="760">
        <f t="shared" si="8"/>
        <v>0</v>
      </c>
      <c r="O46" s="759">
        <f>'(F2) Shpenzimet sipas nenfunk.b'!I46</f>
        <v>0</v>
      </c>
      <c r="P46" s="740">
        <f>'KB 14'!M$19</f>
        <v>0</v>
      </c>
      <c r="Q46" s="740">
        <f>'KB 14'!M$27</f>
        <v>0</v>
      </c>
      <c r="R46" s="760">
        <f t="shared" si="9"/>
        <v>0</v>
      </c>
      <c r="S46" s="759">
        <f>'(F2) Shpenzimet sipas nenfunk.b'!M46</f>
        <v>0</v>
      </c>
      <c r="T46" s="740">
        <f>'KB 14'!N$19</f>
        <v>0</v>
      </c>
      <c r="U46" s="740">
        <f>'KB 14'!N$27</f>
        <v>0</v>
      </c>
      <c r="V46" s="760">
        <f t="shared" si="10"/>
        <v>0</v>
      </c>
      <c r="W46" s="759">
        <f>'(F2) Shpenzimet sipas nenfunk.b'!Q46</f>
        <v>0</v>
      </c>
      <c r="X46" s="740">
        <f>'KB 14'!O$19</f>
        <v>0</v>
      </c>
      <c r="Y46" s="740">
        <f>'KB 14'!O$27</f>
        <v>0</v>
      </c>
      <c r="Z46" s="760">
        <f t="shared" si="11"/>
        <v>0</v>
      </c>
    </row>
    <row r="47" spans="1:26" s="104" customFormat="1" ht="15" customHeight="1" x14ac:dyDescent="0.2">
      <c r="A47" s="731" t="str">
        <f>'(F2) Shpenzimet sipas nenfunk.b'!A47</f>
        <v>06140</v>
      </c>
      <c r="B47" s="788" t="str">
        <f>'(F2) Shpenzimet sipas nenfunk.b'!B47</f>
        <v>Planifikimi Urban Vendor</v>
      </c>
      <c r="C47" s="761">
        <f>'(F2) Shpenzimet sipas nenfunk.b'!C47</f>
        <v>0</v>
      </c>
      <c r="D47" s="153">
        <f>'KB 14'!J73</f>
        <v>0</v>
      </c>
      <c r="E47" s="153">
        <f>'KB 14'!J80</f>
        <v>0</v>
      </c>
      <c r="F47" s="762">
        <f t="shared" si="6"/>
        <v>0</v>
      </c>
      <c r="G47" s="761">
        <f>'(F2) Shpenzimet sipas nenfunk.b'!D47</f>
        <v>0</v>
      </c>
      <c r="H47" s="153">
        <f>'KB 14'!K73</f>
        <v>0</v>
      </c>
      <c r="I47" s="153">
        <f>'KB 14'!K80</f>
        <v>0</v>
      </c>
      <c r="J47" s="762">
        <f t="shared" si="7"/>
        <v>0</v>
      </c>
      <c r="K47" s="761">
        <f>'(F2) Shpenzimet sipas nenfunk.b'!E47</f>
        <v>0</v>
      </c>
      <c r="L47" s="153">
        <f>'KB 14'!L73</f>
        <v>0</v>
      </c>
      <c r="M47" s="153">
        <f>'KB 14'!L80</f>
        <v>0</v>
      </c>
      <c r="N47" s="762">
        <f t="shared" si="8"/>
        <v>0</v>
      </c>
      <c r="O47" s="761">
        <f>'(F2) Shpenzimet sipas nenfunk.b'!I47</f>
        <v>0</v>
      </c>
      <c r="P47" s="153">
        <f>'KB 14'!M73</f>
        <v>0</v>
      </c>
      <c r="Q47" s="153">
        <f>'KB 14'!M80</f>
        <v>0</v>
      </c>
      <c r="R47" s="762">
        <f t="shared" si="9"/>
        <v>0</v>
      </c>
      <c r="S47" s="761">
        <f>'(F2) Shpenzimet sipas nenfunk.b'!M47</f>
        <v>0</v>
      </c>
      <c r="T47" s="153">
        <f>'KB 14'!N73</f>
        <v>0</v>
      </c>
      <c r="U47" s="153">
        <f>'KB 14'!N80</f>
        <v>0</v>
      </c>
      <c r="V47" s="762">
        <f t="shared" si="10"/>
        <v>0</v>
      </c>
      <c r="W47" s="761">
        <f>'(F2) Shpenzimet sipas nenfunk.b'!Q47</f>
        <v>0</v>
      </c>
      <c r="X47" s="153">
        <f>'KB 14'!O73</f>
        <v>0</v>
      </c>
      <c r="Y47" s="153">
        <f>'KB 14'!O80</f>
        <v>0</v>
      </c>
      <c r="Z47" s="762">
        <f t="shared" si="11"/>
        <v>0</v>
      </c>
    </row>
    <row r="48" spans="1:26" s="104" customFormat="1" ht="15" hidden="1" customHeight="1" x14ac:dyDescent="0.2">
      <c r="A48" s="731" t="str">
        <f>'(F2) Shpenzimet sipas nenfunk.b'!A48</f>
        <v>06180</v>
      </c>
      <c r="B48" s="788" t="str">
        <f>'(F2) Shpenzimet sipas nenfunk.b'!B48</f>
        <v>Planifikimi urban dhe strehimi</v>
      </c>
      <c r="C48" s="761">
        <f>'(F2) Shpenzimet sipas nenfunk.b'!C48</f>
        <v>0</v>
      </c>
      <c r="D48" s="153">
        <f>'KB 14'!J112</f>
        <v>0</v>
      </c>
      <c r="E48" s="153">
        <f>'KB 14'!J119</f>
        <v>0</v>
      </c>
      <c r="F48" s="762">
        <f t="shared" si="6"/>
        <v>0</v>
      </c>
      <c r="G48" s="761">
        <f>'(F2) Shpenzimet sipas nenfunk.b'!D48</f>
        <v>0</v>
      </c>
      <c r="H48" s="153">
        <f>'KB 14'!K112</f>
        <v>0</v>
      </c>
      <c r="I48" s="153">
        <f>'KB 14'!K119</f>
        <v>0</v>
      </c>
      <c r="J48" s="762">
        <f t="shared" si="7"/>
        <v>0</v>
      </c>
      <c r="K48" s="761">
        <f>'(F2) Shpenzimet sipas nenfunk.b'!E48</f>
        <v>0</v>
      </c>
      <c r="L48" s="153">
        <f>'KB 14'!L112</f>
        <v>0</v>
      </c>
      <c r="M48" s="153">
        <f>'KB 14'!L119</f>
        <v>0</v>
      </c>
      <c r="N48" s="762">
        <f t="shared" si="8"/>
        <v>0</v>
      </c>
      <c r="O48" s="761">
        <f>'(F2) Shpenzimet sipas nenfunk.b'!I48</f>
        <v>0</v>
      </c>
      <c r="P48" s="153">
        <f>'KB 14'!M112</f>
        <v>0</v>
      </c>
      <c r="Q48" s="153">
        <f>'KB 14'!M119</f>
        <v>0</v>
      </c>
      <c r="R48" s="762">
        <f t="shared" si="9"/>
        <v>0</v>
      </c>
      <c r="S48" s="761">
        <f>'(F2) Shpenzimet sipas nenfunk.b'!M48</f>
        <v>0</v>
      </c>
      <c r="T48" s="153">
        <f>'KB 14'!N112</f>
        <v>0</v>
      </c>
      <c r="U48" s="153">
        <f>'KB 14'!N119</f>
        <v>0</v>
      </c>
      <c r="V48" s="762">
        <f t="shared" si="10"/>
        <v>0</v>
      </c>
      <c r="W48" s="761">
        <f>'(F2) Shpenzimet sipas nenfunk.b'!Q48</f>
        <v>0</v>
      </c>
      <c r="X48" s="153">
        <f>'KB 14'!O112</f>
        <v>0</v>
      </c>
      <c r="Y48" s="153">
        <f>'KB 14'!O119</f>
        <v>0</v>
      </c>
      <c r="Z48" s="762">
        <f t="shared" si="11"/>
        <v>0</v>
      </c>
    </row>
    <row r="49" spans="1:26" ht="15" customHeight="1" x14ac:dyDescent="0.2">
      <c r="A49" s="730" t="str">
        <f>'(F2) Shpenzimet sipas nenfunk.b'!A49</f>
        <v>Nënfunksioni 15</v>
      </c>
      <c r="B49" s="757" t="str">
        <f>'(F2) Shpenzimet sipas nenfunk.b'!B49</f>
        <v>062 Zhvillimi i komunitetit</v>
      </c>
      <c r="C49" s="759">
        <f>'(F2) Shpenzimet sipas nenfunk.b'!C49</f>
        <v>151291</v>
      </c>
      <c r="D49" s="740">
        <f>'KB 15'!J$19</f>
        <v>36122</v>
      </c>
      <c r="E49" s="740">
        <f>'KB 15'!J$27</f>
        <v>0</v>
      </c>
      <c r="F49" s="760">
        <f t="shared" si="6"/>
        <v>115169</v>
      </c>
      <c r="G49" s="759">
        <f>'(F2) Shpenzimet sipas nenfunk.b'!D49</f>
        <v>151291</v>
      </c>
      <c r="H49" s="740">
        <f>'KB 15'!K$19</f>
        <v>36122</v>
      </c>
      <c r="I49" s="740">
        <f>'KB 15'!K$27</f>
        <v>0</v>
      </c>
      <c r="J49" s="760">
        <f t="shared" si="7"/>
        <v>115169</v>
      </c>
      <c r="K49" s="759">
        <f>'(F2) Shpenzimet sipas nenfunk.b'!E49</f>
        <v>151291</v>
      </c>
      <c r="L49" s="740">
        <f>'KB 15'!L$19</f>
        <v>36122</v>
      </c>
      <c r="M49" s="740">
        <f>'KB 15'!L$27</f>
        <v>0</v>
      </c>
      <c r="N49" s="760">
        <f t="shared" si="8"/>
        <v>115169</v>
      </c>
      <c r="O49" s="759">
        <f>'(F2) Shpenzimet sipas nenfunk.b'!I49</f>
        <v>165101</v>
      </c>
      <c r="P49" s="740">
        <f>'KB 15'!M$19</f>
        <v>0</v>
      </c>
      <c r="Q49" s="740">
        <f>'KB 15'!M$27</f>
        <v>0</v>
      </c>
      <c r="R49" s="760">
        <f t="shared" si="9"/>
        <v>165101</v>
      </c>
      <c r="S49" s="759">
        <f>'(F2) Shpenzimet sipas nenfunk.b'!M49</f>
        <v>165101</v>
      </c>
      <c r="T49" s="740">
        <f>'KB 15'!N$19</f>
        <v>0</v>
      </c>
      <c r="U49" s="740">
        <f>'KB 15'!N$27</f>
        <v>0</v>
      </c>
      <c r="V49" s="760">
        <f t="shared" si="10"/>
        <v>165101</v>
      </c>
      <c r="W49" s="759">
        <f>'(F2) Shpenzimet sipas nenfunk.b'!Q49</f>
        <v>171101</v>
      </c>
      <c r="X49" s="740">
        <f>'KB 15'!O$19</f>
        <v>0</v>
      </c>
      <c r="Y49" s="740">
        <f>'KB 15'!O$27</f>
        <v>0</v>
      </c>
      <c r="Z49" s="760">
        <f t="shared" si="11"/>
        <v>171101</v>
      </c>
    </row>
    <row r="50" spans="1:26" s="104" customFormat="1" ht="15" customHeight="1" x14ac:dyDescent="0.2">
      <c r="A50" s="731" t="str">
        <f>'(F2) Shpenzimet sipas nenfunk.b'!A50</f>
        <v>06210</v>
      </c>
      <c r="B50" s="788" t="str">
        <f>'(F2) Shpenzimet sipas nenfunk.b'!B50</f>
        <v>Programet e zhvillimit</v>
      </c>
      <c r="C50" s="761">
        <f>'(F2) Shpenzimet sipas nenfunk.b'!C50</f>
        <v>0</v>
      </c>
      <c r="D50" s="153">
        <f>'KB 15'!J73</f>
        <v>0</v>
      </c>
      <c r="E50" s="153">
        <f>'KB 15'!J80</f>
        <v>0</v>
      </c>
      <c r="F50" s="762">
        <f>C50-D50-E50</f>
        <v>0</v>
      </c>
      <c r="G50" s="761">
        <f>'(F2) Shpenzimet sipas nenfunk.b'!D50</f>
        <v>0</v>
      </c>
      <c r="H50" s="153">
        <f>'KB 15'!K73</f>
        <v>0</v>
      </c>
      <c r="I50" s="153">
        <f>'KB 15'!K80</f>
        <v>0</v>
      </c>
      <c r="J50" s="762">
        <f t="shared" si="7"/>
        <v>0</v>
      </c>
      <c r="K50" s="761">
        <f>'(F2) Shpenzimet sipas nenfunk.b'!E50</f>
        <v>0</v>
      </c>
      <c r="L50" s="153">
        <f>'KB 15'!L73</f>
        <v>0</v>
      </c>
      <c r="M50" s="153">
        <f>'KB 15'!L80</f>
        <v>0</v>
      </c>
      <c r="N50" s="762">
        <f t="shared" si="8"/>
        <v>0</v>
      </c>
      <c r="O50" s="761">
        <f>'(F2) Shpenzimet sipas nenfunk.b'!I50</f>
        <v>0</v>
      </c>
      <c r="P50" s="153">
        <f>'KB 15'!M73</f>
        <v>0</v>
      </c>
      <c r="Q50" s="153">
        <f>'KB 15'!M80</f>
        <v>0</v>
      </c>
      <c r="R50" s="762">
        <f t="shared" si="9"/>
        <v>0</v>
      </c>
      <c r="S50" s="761">
        <f>'(F2) Shpenzimet sipas nenfunk.b'!M50</f>
        <v>0</v>
      </c>
      <c r="T50" s="153">
        <f>'KB 15'!N73</f>
        <v>0</v>
      </c>
      <c r="U50" s="153">
        <f>'KB 15'!N80</f>
        <v>0</v>
      </c>
      <c r="V50" s="762">
        <f t="shared" si="10"/>
        <v>0</v>
      </c>
      <c r="W50" s="761">
        <f>'(F2) Shpenzimet sipas nenfunk.b'!Q50</f>
        <v>0</v>
      </c>
      <c r="X50" s="153">
        <f>'KB 15'!O73</f>
        <v>0</v>
      </c>
      <c r="Y50" s="153">
        <f>'KB 15'!O80</f>
        <v>0</v>
      </c>
      <c r="Z50" s="762">
        <f t="shared" si="11"/>
        <v>0</v>
      </c>
    </row>
    <row r="51" spans="1:26" s="104" customFormat="1" ht="15" customHeight="1" x14ac:dyDescent="0.2">
      <c r="A51" s="731" t="str">
        <f>'(F2) Shpenzimet sipas nenfunk.b'!A51</f>
        <v>06260</v>
      </c>
      <c r="B51" s="788" t="str">
        <f>'(F2) Shpenzimet sipas nenfunk.b'!B51</f>
        <v>Sherbime publike vendore</v>
      </c>
      <c r="C51" s="761">
        <f>'(F2) Shpenzimet sipas nenfunk.b'!C51</f>
        <v>151291</v>
      </c>
      <c r="D51" s="153">
        <f>'KB 15'!J112</f>
        <v>36122</v>
      </c>
      <c r="E51" s="153">
        <f>'KB 15'!J119</f>
        <v>0</v>
      </c>
      <c r="F51" s="762">
        <f t="shared" si="6"/>
        <v>115169</v>
      </c>
      <c r="G51" s="761">
        <f>'(F2) Shpenzimet sipas nenfunk.b'!D51</f>
        <v>151291</v>
      </c>
      <c r="H51" s="153">
        <f>'KB 15'!K112</f>
        <v>36122</v>
      </c>
      <c r="I51" s="153">
        <f>'KB 15'!K119</f>
        <v>0</v>
      </c>
      <c r="J51" s="762">
        <f t="shared" si="7"/>
        <v>115169</v>
      </c>
      <c r="K51" s="761">
        <f>'(F2) Shpenzimet sipas nenfunk.b'!E51</f>
        <v>151291</v>
      </c>
      <c r="L51" s="153">
        <f>'KB 15'!L112</f>
        <v>36122</v>
      </c>
      <c r="M51" s="153">
        <f>'KB 15'!L119</f>
        <v>0</v>
      </c>
      <c r="N51" s="762">
        <f t="shared" si="8"/>
        <v>115169</v>
      </c>
      <c r="O51" s="761">
        <f>'(F2) Shpenzimet sipas nenfunk.b'!I51</f>
        <v>165101</v>
      </c>
      <c r="P51" s="153">
        <f>'KB 15'!M112</f>
        <v>0</v>
      </c>
      <c r="Q51" s="153">
        <f>'KB 15'!M119</f>
        <v>0</v>
      </c>
      <c r="R51" s="762">
        <f t="shared" si="9"/>
        <v>165101</v>
      </c>
      <c r="S51" s="761">
        <f>'(F2) Shpenzimet sipas nenfunk.b'!M51</f>
        <v>165101</v>
      </c>
      <c r="T51" s="153">
        <f>'KB 15'!N112</f>
        <v>0</v>
      </c>
      <c r="U51" s="153">
        <f>'KB 15'!N119</f>
        <v>0</v>
      </c>
      <c r="V51" s="762">
        <f t="shared" si="10"/>
        <v>165101</v>
      </c>
      <c r="W51" s="761">
        <f>'(F2) Shpenzimet sipas nenfunk.b'!Q51</f>
        <v>171101</v>
      </c>
      <c r="X51" s="153">
        <f>'KB 15'!O112</f>
        <v>0</v>
      </c>
      <c r="Y51" s="153">
        <f>'KB 15'!O119</f>
        <v>0</v>
      </c>
      <c r="Z51" s="762">
        <f t="shared" si="11"/>
        <v>171101</v>
      </c>
    </row>
    <row r="52" spans="1:26" ht="15" customHeight="1" x14ac:dyDescent="0.2">
      <c r="A52" s="730" t="str">
        <f>'(F2) Shpenzimet sipas nenfunk.b'!A52</f>
        <v>Nënfunksioni 16</v>
      </c>
      <c r="B52" s="757" t="str">
        <f>'(F2) Shpenzimet sipas nenfunk.b'!B52</f>
        <v>063 Furnizimi me ujë</v>
      </c>
      <c r="C52" s="759">
        <f>'(F2) Shpenzimet sipas nenfunk.b'!C52</f>
        <v>0</v>
      </c>
      <c r="D52" s="740">
        <f>'KB 16'!J$19</f>
        <v>0</v>
      </c>
      <c r="E52" s="740">
        <f>'KB 16'!J$27</f>
        <v>0</v>
      </c>
      <c r="F52" s="760">
        <f>C52-D52-E52</f>
        <v>0</v>
      </c>
      <c r="G52" s="759">
        <f>'(F2) Shpenzimet sipas nenfunk.b'!D52</f>
        <v>0</v>
      </c>
      <c r="H52" s="740">
        <f>'KB 16'!K$19</f>
        <v>0</v>
      </c>
      <c r="I52" s="740">
        <f>'KB 16'!K$27</f>
        <v>0</v>
      </c>
      <c r="J52" s="760">
        <f t="shared" si="7"/>
        <v>0</v>
      </c>
      <c r="K52" s="759">
        <f>'(F2) Shpenzimet sipas nenfunk.b'!E52</f>
        <v>0</v>
      </c>
      <c r="L52" s="740">
        <f>'KB 16'!L$19</f>
        <v>0</v>
      </c>
      <c r="M52" s="740">
        <f>'KB 16'!L$27</f>
        <v>0</v>
      </c>
      <c r="N52" s="760">
        <f t="shared" si="8"/>
        <v>0</v>
      </c>
      <c r="O52" s="759">
        <f>'(F2) Shpenzimet sipas nenfunk.b'!I52</f>
        <v>0</v>
      </c>
      <c r="P52" s="740">
        <f>'KB 16'!M$19</f>
        <v>0</v>
      </c>
      <c r="Q52" s="740">
        <f>'KB 16'!M$27</f>
        <v>0</v>
      </c>
      <c r="R52" s="760">
        <f t="shared" si="9"/>
        <v>0</v>
      </c>
      <c r="S52" s="759">
        <f>'(F2) Shpenzimet sipas nenfunk.b'!M52</f>
        <v>0</v>
      </c>
      <c r="T52" s="740">
        <f>'KB 16'!N$19</f>
        <v>0</v>
      </c>
      <c r="U52" s="740">
        <f>'KB 16'!N$27</f>
        <v>0</v>
      </c>
      <c r="V52" s="760">
        <f t="shared" si="10"/>
        <v>0</v>
      </c>
      <c r="W52" s="759">
        <f>'(F2) Shpenzimet sipas nenfunk.b'!Q52</f>
        <v>0</v>
      </c>
      <c r="X52" s="740">
        <f>'KB 16'!O$19</f>
        <v>0</v>
      </c>
      <c r="Y52" s="740">
        <f>'KB 16'!O$27</f>
        <v>0</v>
      </c>
      <c r="Z52" s="760">
        <f t="shared" si="11"/>
        <v>0</v>
      </c>
    </row>
    <row r="53" spans="1:26" s="104" customFormat="1" ht="15" customHeight="1" x14ac:dyDescent="0.2">
      <c r="A53" s="731" t="str">
        <f>'(F2) Shpenzimet sipas nenfunk.b'!A53</f>
        <v>06330</v>
      </c>
      <c r="B53" s="788" t="str">
        <f>'(F2) Shpenzimet sipas nenfunk.b'!B53</f>
        <v xml:space="preserve">Furnizimi me ujë </v>
      </c>
      <c r="C53" s="761">
        <f>'(F2) Shpenzimet sipas nenfunk.b'!C53</f>
        <v>0</v>
      </c>
      <c r="D53" s="153">
        <f>'KB 16'!J73</f>
        <v>0</v>
      </c>
      <c r="E53" s="153">
        <f>'KB 16'!J80</f>
        <v>0</v>
      </c>
      <c r="F53" s="762">
        <f>C53-D53-E53</f>
        <v>0</v>
      </c>
      <c r="G53" s="761">
        <f>'(F2) Shpenzimet sipas nenfunk.b'!D53</f>
        <v>0</v>
      </c>
      <c r="H53" s="153">
        <f>'KB 16'!K73</f>
        <v>0</v>
      </c>
      <c r="I53" s="153">
        <f>'KB 16'!K80</f>
        <v>0</v>
      </c>
      <c r="J53" s="762">
        <f t="shared" si="7"/>
        <v>0</v>
      </c>
      <c r="K53" s="761">
        <f>'(F2) Shpenzimet sipas nenfunk.b'!E53</f>
        <v>0</v>
      </c>
      <c r="L53" s="153">
        <f>'KB 16'!L73</f>
        <v>0</v>
      </c>
      <c r="M53" s="153">
        <f>'KB 16'!L80</f>
        <v>0</v>
      </c>
      <c r="N53" s="762">
        <f t="shared" si="8"/>
        <v>0</v>
      </c>
      <c r="O53" s="761">
        <f>'(F2) Shpenzimet sipas nenfunk.b'!I53</f>
        <v>0</v>
      </c>
      <c r="P53" s="153">
        <f>'KB 16'!M73</f>
        <v>0</v>
      </c>
      <c r="Q53" s="153">
        <f>'KB 16'!M80</f>
        <v>0</v>
      </c>
      <c r="R53" s="762">
        <f t="shared" si="9"/>
        <v>0</v>
      </c>
      <c r="S53" s="761">
        <f>'(F2) Shpenzimet sipas nenfunk.b'!M53</f>
        <v>0</v>
      </c>
      <c r="T53" s="153">
        <f>'KB 16'!N73</f>
        <v>0</v>
      </c>
      <c r="U53" s="153">
        <f>'KB 16'!N80</f>
        <v>0</v>
      </c>
      <c r="V53" s="762">
        <f t="shared" si="10"/>
        <v>0</v>
      </c>
      <c r="W53" s="761">
        <f>'(F2) Shpenzimet sipas nenfunk.b'!Q53</f>
        <v>0</v>
      </c>
      <c r="X53" s="153">
        <f>'KB 16'!O73</f>
        <v>0</v>
      </c>
      <c r="Y53" s="153">
        <f>'KB 16'!O80</f>
        <v>0</v>
      </c>
      <c r="Z53" s="762">
        <f t="shared" si="11"/>
        <v>0</v>
      </c>
    </row>
    <row r="54" spans="1:26" ht="15" customHeight="1" x14ac:dyDescent="0.2">
      <c r="A54" s="730" t="str">
        <f>'(F2) Shpenzimet sipas nenfunk.b'!A54</f>
        <v>Nënfunksioni 17</v>
      </c>
      <c r="B54" s="757" t="str">
        <f>'(F2) Shpenzimet sipas nenfunk.b'!B54</f>
        <v xml:space="preserve">                               </v>
      </c>
      <c r="C54" s="759">
        <f>'(F2) Shpenzimet sipas nenfunk.b'!C54</f>
        <v>0</v>
      </c>
      <c r="D54" s="740">
        <f>'KB 17'!J$19</f>
        <v>0</v>
      </c>
      <c r="E54" s="740">
        <f>'KB 17'!J$27</f>
        <v>0</v>
      </c>
      <c r="F54" s="760">
        <f t="shared" si="6"/>
        <v>0</v>
      </c>
      <c r="G54" s="759">
        <f>'(F2) Shpenzimet sipas nenfunk.b'!D54</f>
        <v>0</v>
      </c>
      <c r="H54" s="740">
        <f>'KB 17'!K$19</f>
        <v>0</v>
      </c>
      <c r="I54" s="740">
        <f>'KB 17'!K$27</f>
        <v>0</v>
      </c>
      <c r="J54" s="760">
        <f t="shared" si="7"/>
        <v>0</v>
      </c>
      <c r="K54" s="759">
        <f>'(F2) Shpenzimet sipas nenfunk.b'!E54</f>
        <v>0</v>
      </c>
      <c r="L54" s="740">
        <f>'KB 17'!L$19</f>
        <v>0</v>
      </c>
      <c r="M54" s="740">
        <f>'KB 17'!L$27</f>
        <v>0</v>
      </c>
      <c r="N54" s="760">
        <f t="shared" si="8"/>
        <v>0</v>
      </c>
      <c r="O54" s="759">
        <f>'(F2) Shpenzimet sipas nenfunk.b'!I54</f>
        <v>11970</v>
      </c>
      <c r="P54" s="740">
        <f>'KB 17'!M$19</f>
        <v>0</v>
      </c>
      <c r="Q54" s="740">
        <f>'KB 17'!M$27</f>
        <v>0</v>
      </c>
      <c r="R54" s="760">
        <f t="shared" si="9"/>
        <v>11970</v>
      </c>
      <c r="S54" s="759">
        <f>'(F2) Shpenzimet sipas nenfunk.b'!M54</f>
        <v>13970</v>
      </c>
      <c r="T54" s="740">
        <f>'KB 17'!N$19</f>
        <v>0</v>
      </c>
      <c r="U54" s="740">
        <f>'KB 17'!N$27</f>
        <v>0</v>
      </c>
      <c r="V54" s="760">
        <f t="shared" si="10"/>
        <v>13970</v>
      </c>
      <c r="W54" s="759">
        <f>'(F2) Shpenzimet sipas nenfunk.b'!Q54</f>
        <v>13170</v>
      </c>
      <c r="X54" s="740">
        <f>'KB 17'!O$19</f>
        <v>0</v>
      </c>
      <c r="Y54" s="740">
        <f>'KB 17'!O$27</f>
        <v>0</v>
      </c>
      <c r="Z54" s="760">
        <f t="shared" si="11"/>
        <v>13170</v>
      </c>
    </row>
    <row r="55" spans="1:26" s="104" customFormat="1" ht="15" customHeight="1" x14ac:dyDescent="0.2">
      <c r="A55" s="731" t="str">
        <f>'(F2) Shpenzimet sipas nenfunk.b'!A55</f>
        <v>06440</v>
      </c>
      <c r="B55" s="788" t="str">
        <f>'(F2) Shpenzimet sipas nenfunk.b'!B55</f>
        <v>Ndriçim rrugësh</v>
      </c>
      <c r="C55" s="761">
        <f>'(F2) Shpenzimet sipas nenfunk.b'!C55</f>
        <v>0</v>
      </c>
      <c r="D55" s="153">
        <f>'KB 17'!J73</f>
        <v>0</v>
      </c>
      <c r="E55" s="153">
        <f>'KB 17'!J80</f>
        <v>0</v>
      </c>
      <c r="F55" s="762">
        <f t="shared" si="6"/>
        <v>0</v>
      </c>
      <c r="G55" s="761">
        <f>'(F2) Shpenzimet sipas nenfunk.b'!D55</f>
        <v>0</v>
      </c>
      <c r="H55" s="153">
        <f>'KB 17'!K73</f>
        <v>0</v>
      </c>
      <c r="I55" s="153">
        <f>'KB 17'!K80</f>
        <v>0</v>
      </c>
      <c r="J55" s="762">
        <f t="shared" si="7"/>
        <v>0</v>
      </c>
      <c r="K55" s="761">
        <f>'(F2) Shpenzimet sipas nenfunk.b'!E55</f>
        <v>0</v>
      </c>
      <c r="L55" s="153">
        <f>'KB 17'!L73</f>
        <v>0</v>
      </c>
      <c r="M55" s="153">
        <f>'KB 17'!L80</f>
        <v>0</v>
      </c>
      <c r="N55" s="762">
        <f t="shared" si="8"/>
        <v>0</v>
      </c>
      <c r="O55" s="761">
        <f>'(F2) Shpenzimet sipas nenfunk.b'!I55</f>
        <v>11970</v>
      </c>
      <c r="P55" s="153">
        <f>'KB 17'!M73</f>
        <v>0</v>
      </c>
      <c r="Q55" s="153">
        <f>'KB 17'!M80</f>
        <v>0</v>
      </c>
      <c r="R55" s="762">
        <f t="shared" si="9"/>
        <v>11970</v>
      </c>
      <c r="S55" s="761">
        <f>'(F2) Shpenzimet sipas nenfunk.b'!M55</f>
        <v>13970</v>
      </c>
      <c r="T55" s="153">
        <f>'KB 17'!N73</f>
        <v>0</v>
      </c>
      <c r="U55" s="153">
        <f>'KB 17'!N80</f>
        <v>0</v>
      </c>
      <c r="V55" s="762">
        <f t="shared" si="10"/>
        <v>13970</v>
      </c>
      <c r="W55" s="761">
        <f>'(F2) Shpenzimet sipas nenfunk.b'!Q55</f>
        <v>13170</v>
      </c>
      <c r="X55" s="153">
        <f>'KB 17'!O73</f>
        <v>0</v>
      </c>
      <c r="Y55" s="153">
        <f>'KB 17'!O80</f>
        <v>0</v>
      </c>
      <c r="Z55" s="762">
        <f t="shared" si="11"/>
        <v>13170</v>
      </c>
    </row>
    <row r="56" spans="1:26" s="741" customFormat="1" ht="15" customHeight="1" x14ac:dyDescent="0.2">
      <c r="A56" s="730" t="str">
        <f>'(F2) Shpenzimet sipas nenfunk.b'!A56</f>
        <v>Nënfunksioni 18</v>
      </c>
      <c r="B56" s="757" t="str">
        <f>'(F2) Shpenzimet sipas nenfunk.b'!B56</f>
        <v xml:space="preserve">072 Shërbimet e kujdesit parësor </v>
      </c>
      <c r="C56" s="759">
        <f>'(F2) Shpenzimet sipas nenfunk.b'!C56</f>
        <v>0</v>
      </c>
      <c r="D56" s="740">
        <f>'KB 18'!J$19</f>
        <v>0</v>
      </c>
      <c r="E56" s="740">
        <f>'KB 18'!J$27</f>
        <v>0</v>
      </c>
      <c r="F56" s="760">
        <f t="shared" si="6"/>
        <v>0</v>
      </c>
      <c r="G56" s="759">
        <f>'(F2) Shpenzimet sipas nenfunk.b'!D56</f>
        <v>0</v>
      </c>
      <c r="H56" s="740">
        <f>'KB 18'!K$19</f>
        <v>0</v>
      </c>
      <c r="I56" s="740">
        <f>'KB 18'!K$27</f>
        <v>0</v>
      </c>
      <c r="J56" s="760">
        <f t="shared" si="7"/>
        <v>0</v>
      </c>
      <c r="K56" s="759">
        <f>'(F2) Shpenzimet sipas nenfunk.b'!E56</f>
        <v>0</v>
      </c>
      <c r="L56" s="740">
        <f>'KB 18'!L$19</f>
        <v>0</v>
      </c>
      <c r="M56" s="740">
        <f>'KB 18'!L$27</f>
        <v>0</v>
      </c>
      <c r="N56" s="760">
        <f t="shared" si="8"/>
        <v>0</v>
      </c>
      <c r="O56" s="759">
        <f>'(F2) Shpenzimet sipas nenfunk.b'!I56</f>
        <v>24530</v>
      </c>
      <c r="P56" s="740">
        <f>'KB 18'!M$19</f>
        <v>0</v>
      </c>
      <c r="Q56" s="740">
        <f>'KB 18'!M$27</f>
        <v>0</v>
      </c>
      <c r="R56" s="760">
        <f t="shared" si="9"/>
        <v>24530</v>
      </c>
      <c r="S56" s="759">
        <f>'(F2) Shpenzimet sipas nenfunk.b'!M56</f>
        <v>24530</v>
      </c>
      <c r="T56" s="740">
        <f>'KB 18'!N$19</f>
        <v>0</v>
      </c>
      <c r="U56" s="740">
        <f>'KB 18'!N$27</f>
        <v>0</v>
      </c>
      <c r="V56" s="760">
        <f t="shared" si="10"/>
        <v>24530</v>
      </c>
      <c r="W56" s="759">
        <f>'(F2) Shpenzimet sipas nenfunk.b'!Q56</f>
        <v>24530</v>
      </c>
      <c r="X56" s="740">
        <f>'KB 18'!O$19</f>
        <v>0</v>
      </c>
      <c r="Y56" s="740">
        <f>'KB 18'!O$27</f>
        <v>0</v>
      </c>
      <c r="Z56" s="760">
        <f t="shared" si="11"/>
        <v>24530</v>
      </c>
    </row>
    <row r="57" spans="1:26" s="104" customFormat="1" ht="15" customHeight="1" x14ac:dyDescent="0.2">
      <c r="A57" s="731" t="str">
        <f>'(F2) Shpenzimet sipas nenfunk.b'!A57</f>
        <v>07220</v>
      </c>
      <c r="B57" s="788" t="str">
        <f>'(F2) Shpenzimet sipas nenfunk.b'!B57</f>
        <v>Shërbimet e kujdesit parësor</v>
      </c>
      <c r="C57" s="761">
        <f>'(F2) Shpenzimet sipas nenfunk.b'!C57</f>
        <v>0</v>
      </c>
      <c r="D57" s="153">
        <f>'KB 18'!J73</f>
        <v>0</v>
      </c>
      <c r="E57" s="153">
        <f>'KB 18'!J80</f>
        <v>0</v>
      </c>
      <c r="F57" s="762">
        <f t="shared" si="6"/>
        <v>0</v>
      </c>
      <c r="G57" s="761">
        <f>'(F2) Shpenzimet sipas nenfunk.b'!D57</f>
        <v>0</v>
      </c>
      <c r="H57" s="153">
        <f>'KB 18'!K73</f>
        <v>0</v>
      </c>
      <c r="I57" s="153">
        <f>'KB 18'!K80</f>
        <v>0</v>
      </c>
      <c r="J57" s="762">
        <f t="shared" si="7"/>
        <v>0</v>
      </c>
      <c r="K57" s="761">
        <f>'(F2) Shpenzimet sipas nenfunk.b'!E57</f>
        <v>0</v>
      </c>
      <c r="L57" s="153">
        <f>'KB 18'!L73</f>
        <v>0</v>
      </c>
      <c r="M57" s="153">
        <f>'KB 18'!L80</f>
        <v>0</v>
      </c>
      <c r="N57" s="762">
        <f t="shared" si="8"/>
        <v>0</v>
      </c>
      <c r="O57" s="761">
        <f>'(F2) Shpenzimet sipas nenfunk.b'!I57</f>
        <v>24530</v>
      </c>
      <c r="P57" s="153">
        <f>'KB 18'!M73</f>
        <v>0</v>
      </c>
      <c r="Q57" s="153">
        <f>'KB 18'!M80</f>
        <v>0</v>
      </c>
      <c r="R57" s="762">
        <f t="shared" si="9"/>
        <v>24530</v>
      </c>
      <c r="S57" s="761">
        <f>'(F2) Shpenzimet sipas nenfunk.b'!M57</f>
        <v>24530</v>
      </c>
      <c r="T57" s="153">
        <f>'KB 18'!N73</f>
        <v>0</v>
      </c>
      <c r="U57" s="153">
        <f>'KB 18'!N80</f>
        <v>0</v>
      </c>
      <c r="V57" s="762">
        <f t="shared" si="10"/>
        <v>24530</v>
      </c>
      <c r="W57" s="761">
        <f>'(F2) Shpenzimet sipas nenfunk.b'!Q57</f>
        <v>24530</v>
      </c>
      <c r="X57" s="153">
        <f>'KB 18'!O73</f>
        <v>0</v>
      </c>
      <c r="Y57" s="153">
        <f>'KB 18'!O80</f>
        <v>0</v>
      </c>
      <c r="Z57" s="762">
        <f t="shared" si="11"/>
        <v>24530</v>
      </c>
    </row>
    <row r="58" spans="1:26" s="741" customFormat="1" ht="15" customHeight="1" x14ac:dyDescent="0.2">
      <c r="A58" s="730" t="str">
        <f>'(F2) Shpenzimet sipas nenfunk.b'!A58</f>
        <v>Nënfunksioni 19</v>
      </c>
      <c r="B58" s="757" t="str">
        <f>'(F2) Shpenzimet sipas nenfunk.b'!B58</f>
        <v>081 Shërbimet rekreative dhe sportive</v>
      </c>
      <c r="C58" s="759">
        <f>'(F2) Shpenzimet sipas nenfunk.b'!C58</f>
        <v>14002</v>
      </c>
      <c r="D58" s="740">
        <f>'KB 19'!J$19</f>
        <v>8522</v>
      </c>
      <c r="E58" s="740">
        <f>'KB 19'!J$27</f>
        <v>0</v>
      </c>
      <c r="F58" s="760">
        <f t="shared" si="6"/>
        <v>5480</v>
      </c>
      <c r="G58" s="759">
        <f>'(F2) Shpenzimet sipas nenfunk.b'!D58</f>
        <v>14002</v>
      </c>
      <c r="H58" s="740">
        <f>'KB 19'!K$19</f>
        <v>8522</v>
      </c>
      <c r="I58" s="740">
        <f>'KB 19'!K$27</f>
        <v>0</v>
      </c>
      <c r="J58" s="760">
        <f t="shared" si="7"/>
        <v>5480</v>
      </c>
      <c r="K58" s="759">
        <f>'(F2) Shpenzimet sipas nenfunk.b'!E58</f>
        <v>14002</v>
      </c>
      <c r="L58" s="740">
        <f>'KB 19'!L$19</f>
        <v>8522</v>
      </c>
      <c r="M58" s="740">
        <f>'KB 19'!L$27</f>
        <v>0</v>
      </c>
      <c r="N58" s="760">
        <f t="shared" si="8"/>
        <v>5480</v>
      </c>
      <c r="O58" s="759">
        <f>'(F2) Shpenzimet sipas nenfunk.b'!I58</f>
        <v>28076</v>
      </c>
      <c r="P58" s="740">
        <f>'KB 19'!M$19</f>
        <v>0</v>
      </c>
      <c r="Q58" s="740">
        <f>'KB 19'!M$27</f>
        <v>0</v>
      </c>
      <c r="R58" s="760">
        <f t="shared" si="9"/>
        <v>28076</v>
      </c>
      <c r="S58" s="759">
        <f>'(F2) Shpenzimet sipas nenfunk.b'!M58</f>
        <v>28076</v>
      </c>
      <c r="T58" s="740">
        <f>'KB 19'!N$19</f>
        <v>0</v>
      </c>
      <c r="U58" s="740">
        <f>'KB 19'!N$27</f>
        <v>0</v>
      </c>
      <c r="V58" s="760">
        <f t="shared" si="10"/>
        <v>28076</v>
      </c>
      <c r="W58" s="759">
        <f>'(F2) Shpenzimet sipas nenfunk.b'!Q58</f>
        <v>28076</v>
      </c>
      <c r="X58" s="740">
        <f>'KB 19'!O$19</f>
        <v>0</v>
      </c>
      <c r="Y58" s="740">
        <f>'KB 19'!O$27</f>
        <v>0</v>
      </c>
      <c r="Z58" s="760">
        <f t="shared" si="11"/>
        <v>28076</v>
      </c>
    </row>
    <row r="59" spans="1:26" s="104" customFormat="1" ht="15" hidden="1" customHeight="1" x14ac:dyDescent="0.2">
      <c r="A59" s="731" t="str">
        <f>'(F2) Shpenzimet sipas nenfunk.b'!A59</f>
        <v>08120</v>
      </c>
      <c r="B59" s="788" t="str">
        <f>'(F2) Shpenzimet sipas nenfunk.b'!B59</f>
        <v>Parqet</v>
      </c>
      <c r="C59" s="761">
        <f>'(F2) Shpenzimet sipas nenfunk.b'!C59</f>
        <v>0</v>
      </c>
      <c r="D59" s="153">
        <f>'KB 19'!J73</f>
        <v>0</v>
      </c>
      <c r="E59" s="153">
        <f>'KB 19'!J80</f>
        <v>0</v>
      </c>
      <c r="F59" s="762">
        <f t="shared" si="6"/>
        <v>0</v>
      </c>
      <c r="G59" s="761">
        <f>'(F2) Shpenzimet sipas nenfunk.b'!D59</f>
        <v>0</v>
      </c>
      <c r="H59" s="153">
        <f>'KB 19'!K73</f>
        <v>0</v>
      </c>
      <c r="I59" s="153">
        <f>'KB 19'!K80</f>
        <v>0</v>
      </c>
      <c r="J59" s="762">
        <f t="shared" si="7"/>
        <v>0</v>
      </c>
      <c r="K59" s="761">
        <f>'(F2) Shpenzimet sipas nenfunk.b'!E59</f>
        <v>0</v>
      </c>
      <c r="L59" s="153">
        <f>'KB 19'!L73</f>
        <v>0</v>
      </c>
      <c r="M59" s="153">
        <f>'KB 19'!L80</f>
        <v>0</v>
      </c>
      <c r="N59" s="762">
        <f t="shared" si="8"/>
        <v>0</v>
      </c>
      <c r="O59" s="761">
        <f>'(F2) Shpenzimet sipas nenfunk.b'!I59</f>
        <v>0</v>
      </c>
      <c r="P59" s="153">
        <f>'KB 19'!M73</f>
        <v>0</v>
      </c>
      <c r="Q59" s="153">
        <f>'KB 19'!M80</f>
        <v>0</v>
      </c>
      <c r="R59" s="762">
        <f t="shared" si="9"/>
        <v>0</v>
      </c>
      <c r="S59" s="761">
        <f>'(F2) Shpenzimet sipas nenfunk.b'!M59</f>
        <v>0</v>
      </c>
      <c r="T59" s="153">
        <f>'KB 19'!N73</f>
        <v>0</v>
      </c>
      <c r="U59" s="153">
        <f>'KB 19'!N80</f>
        <v>0</v>
      </c>
      <c r="V59" s="762">
        <f t="shared" si="10"/>
        <v>0</v>
      </c>
      <c r="W59" s="761">
        <f>'(F2) Shpenzimet sipas nenfunk.b'!Q59</f>
        <v>0</v>
      </c>
      <c r="X59" s="153">
        <f>'KB 19'!O73</f>
        <v>0</v>
      </c>
      <c r="Y59" s="153">
        <f>'KB 19'!O80</f>
        <v>0</v>
      </c>
      <c r="Z59" s="762">
        <f t="shared" si="11"/>
        <v>0</v>
      </c>
    </row>
    <row r="60" spans="1:26" s="104" customFormat="1" ht="15" customHeight="1" x14ac:dyDescent="0.2">
      <c r="A60" s="731" t="str">
        <f>'(F2) Shpenzimet sipas nenfunk.b'!A60</f>
        <v>08130</v>
      </c>
      <c r="B60" s="788" t="str">
        <f>'(F2) Shpenzimet sipas nenfunk.b'!B60</f>
        <v>Sport dhe argëtim</v>
      </c>
      <c r="C60" s="761">
        <f>'(F2) Shpenzimet sipas nenfunk.b'!C60</f>
        <v>14002</v>
      </c>
      <c r="D60" s="153">
        <f>'KB 19'!J112</f>
        <v>8522</v>
      </c>
      <c r="E60" s="153">
        <f>'KB 19'!J119</f>
        <v>0</v>
      </c>
      <c r="F60" s="762">
        <f t="shared" si="6"/>
        <v>5480</v>
      </c>
      <c r="G60" s="761">
        <f>'(F2) Shpenzimet sipas nenfunk.b'!D60</f>
        <v>14002</v>
      </c>
      <c r="H60" s="153">
        <f>'KB 19'!K112</f>
        <v>8522</v>
      </c>
      <c r="I60" s="153">
        <f>'KB 19'!K119</f>
        <v>0</v>
      </c>
      <c r="J60" s="762">
        <f t="shared" si="7"/>
        <v>5480</v>
      </c>
      <c r="K60" s="761">
        <f>'(F2) Shpenzimet sipas nenfunk.b'!E60</f>
        <v>14002</v>
      </c>
      <c r="L60" s="153">
        <f>'KB 19'!L112</f>
        <v>8522</v>
      </c>
      <c r="M60" s="153">
        <f>'KB 19'!L119</f>
        <v>0</v>
      </c>
      <c r="N60" s="762">
        <f t="shared" si="8"/>
        <v>5480</v>
      </c>
      <c r="O60" s="761">
        <f>'(F2) Shpenzimet sipas nenfunk.b'!I60</f>
        <v>28076</v>
      </c>
      <c r="P60" s="153">
        <f>'KB 19'!M112</f>
        <v>0</v>
      </c>
      <c r="Q60" s="153">
        <f>'KB 19'!M119</f>
        <v>0</v>
      </c>
      <c r="R60" s="762">
        <f t="shared" si="9"/>
        <v>28076</v>
      </c>
      <c r="S60" s="761">
        <f>'(F2) Shpenzimet sipas nenfunk.b'!M60</f>
        <v>28076</v>
      </c>
      <c r="T60" s="153">
        <f>'KB 19'!N112</f>
        <v>0</v>
      </c>
      <c r="U60" s="153">
        <f>'KB 19'!N119</f>
        <v>0</v>
      </c>
      <c r="V60" s="762">
        <f t="shared" si="10"/>
        <v>28076</v>
      </c>
      <c r="W60" s="761">
        <f>'(F2) Shpenzimet sipas nenfunk.b'!Q60</f>
        <v>28076</v>
      </c>
      <c r="X60" s="153">
        <f>'KB 19'!O112</f>
        <v>0</v>
      </c>
      <c r="Y60" s="153">
        <f>'KB 19'!O119</f>
        <v>0</v>
      </c>
      <c r="Z60" s="762">
        <f t="shared" si="11"/>
        <v>28076</v>
      </c>
    </row>
    <row r="61" spans="1:26" s="741" customFormat="1" ht="15" customHeight="1" x14ac:dyDescent="0.2">
      <c r="A61" s="730" t="str">
        <f>'(F2) Shpenzimet sipas nenfunk.b'!A61</f>
        <v>Nënfunksioni 20</v>
      </c>
      <c r="B61" s="757" t="str">
        <f>'(F2) Shpenzimet sipas nenfunk.b'!B61</f>
        <v>082 Shërbimet kulturore</v>
      </c>
      <c r="C61" s="759">
        <f>'(F2) Shpenzimet sipas nenfunk.b'!C61</f>
        <v>15896</v>
      </c>
      <c r="D61" s="740">
        <f>'KB 20'!J$19</f>
        <v>5271</v>
      </c>
      <c r="E61" s="740">
        <f>'KB 20'!J$27</f>
        <v>10625</v>
      </c>
      <c r="F61" s="760">
        <f t="shared" si="6"/>
        <v>0</v>
      </c>
      <c r="G61" s="759">
        <f>'(F2) Shpenzimet sipas nenfunk.b'!D61</f>
        <v>15896</v>
      </c>
      <c r="H61" s="740">
        <f>'KB 20'!K$19</f>
        <v>5271</v>
      </c>
      <c r="I61" s="740">
        <f>'KB 20'!K$27</f>
        <v>10625</v>
      </c>
      <c r="J61" s="760">
        <f t="shared" si="7"/>
        <v>0</v>
      </c>
      <c r="K61" s="759">
        <f>'(F2) Shpenzimet sipas nenfunk.b'!E61</f>
        <v>15896</v>
      </c>
      <c r="L61" s="740">
        <f>'KB 20'!L$19</f>
        <v>5271</v>
      </c>
      <c r="M61" s="740">
        <f>'KB 20'!L$27</f>
        <v>10625</v>
      </c>
      <c r="N61" s="760">
        <f t="shared" si="8"/>
        <v>0</v>
      </c>
      <c r="O61" s="759">
        <f>'(F2) Shpenzimet sipas nenfunk.b'!I61</f>
        <v>26110</v>
      </c>
      <c r="P61" s="740">
        <f>'KB 20'!M$19</f>
        <v>0</v>
      </c>
      <c r="Q61" s="740">
        <f>'KB 20'!M$27</f>
        <v>0</v>
      </c>
      <c r="R61" s="760">
        <f t="shared" si="9"/>
        <v>26110</v>
      </c>
      <c r="S61" s="759">
        <f>'(F2) Shpenzimet sipas nenfunk.b'!M61</f>
        <v>26110</v>
      </c>
      <c r="T61" s="740">
        <f>'KB 20'!N$19</f>
        <v>0</v>
      </c>
      <c r="U61" s="740">
        <f>'KB 20'!N$27</f>
        <v>0</v>
      </c>
      <c r="V61" s="760">
        <f t="shared" si="10"/>
        <v>26110</v>
      </c>
      <c r="W61" s="759">
        <f>'(F2) Shpenzimet sipas nenfunk.b'!Q61</f>
        <v>26110</v>
      </c>
      <c r="X61" s="740">
        <f>'KB 20'!O$19</f>
        <v>0</v>
      </c>
      <c r="Y61" s="740">
        <f>'KB 20'!O$27</f>
        <v>0</v>
      </c>
      <c r="Z61" s="760">
        <f t="shared" si="11"/>
        <v>26110</v>
      </c>
    </row>
    <row r="62" spans="1:26" s="104" customFormat="1" ht="15" customHeight="1" x14ac:dyDescent="0.2">
      <c r="A62" s="731" t="str">
        <f>'(F2) Shpenzimet sipas nenfunk.b'!A62</f>
        <v>08220</v>
      </c>
      <c r="B62" s="788" t="str">
        <f>'(F2) Shpenzimet sipas nenfunk.b'!B62</f>
        <v>Trashëgimia kulturore, eventet artistike dhe kulturore</v>
      </c>
      <c r="C62" s="761">
        <f>'(F2) Shpenzimet sipas nenfunk.b'!C62</f>
        <v>15896</v>
      </c>
      <c r="D62" s="153">
        <f>'KB 20'!J$73</f>
        <v>5271</v>
      </c>
      <c r="E62" s="153">
        <f>'KB 20'!J$80</f>
        <v>10625</v>
      </c>
      <c r="F62" s="762">
        <f t="shared" si="6"/>
        <v>0</v>
      </c>
      <c r="G62" s="761">
        <f>'(F2) Shpenzimet sipas nenfunk.b'!D62</f>
        <v>15896</v>
      </c>
      <c r="H62" s="153">
        <f>'KB 20'!K$73</f>
        <v>5271</v>
      </c>
      <c r="I62" s="153">
        <f>'KB 20'!K$80</f>
        <v>10625</v>
      </c>
      <c r="J62" s="762">
        <f t="shared" si="7"/>
        <v>0</v>
      </c>
      <c r="K62" s="761">
        <f>'(F2) Shpenzimet sipas nenfunk.b'!E62</f>
        <v>15896</v>
      </c>
      <c r="L62" s="153">
        <f>'KB 20'!L$73</f>
        <v>5271</v>
      </c>
      <c r="M62" s="153">
        <f>'KB 20'!L$80</f>
        <v>10625</v>
      </c>
      <c r="N62" s="762">
        <f t="shared" si="8"/>
        <v>0</v>
      </c>
      <c r="O62" s="761">
        <f>'(F2) Shpenzimet sipas nenfunk.b'!I62</f>
        <v>26110</v>
      </c>
      <c r="P62" s="153">
        <f>'KB 20'!M$73</f>
        <v>0</v>
      </c>
      <c r="Q62" s="153">
        <f>'KB 20'!M$80</f>
        <v>0</v>
      </c>
      <c r="R62" s="762">
        <f t="shared" si="9"/>
        <v>26110</v>
      </c>
      <c r="S62" s="761">
        <f>'(F2) Shpenzimet sipas nenfunk.b'!M62</f>
        <v>26110</v>
      </c>
      <c r="T62" s="153">
        <f>'KB 20'!N$73</f>
        <v>0</v>
      </c>
      <c r="U62" s="153">
        <f>'KB 20'!N$80</f>
        <v>0</v>
      </c>
      <c r="V62" s="762">
        <f t="shared" si="10"/>
        <v>26110</v>
      </c>
      <c r="W62" s="761">
        <f>'(F2) Shpenzimet sipas nenfunk.b'!Q62</f>
        <v>26110</v>
      </c>
      <c r="X62" s="153">
        <f>'KB 20'!O$73</f>
        <v>0</v>
      </c>
      <c r="Y62" s="153">
        <f>'KB 20'!O$80</f>
        <v>0</v>
      </c>
      <c r="Z62" s="762">
        <f t="shared" si="11"/>
        <v>26110</v>
      </c>
    </row>
    <row r="63" spans="1:26" s="104" customFormat="1" ht="15" hidden="1" customHeight="1" x14ac:dyDescent="0.2">
      <c r="A63" s="731" t="str">
        <f>'(F2) Shpenzimet sipas nenfunk.b'!A63</f>
        <v>08230</v>
      </c>
      <c r="B63" s="788" t="str">
        <f>'(F2) Shpenzimet sipas nenfunk.b'!B63</f>
        <v>Arti dhe kultura</v>
      </c>
      <c r="C63" s="761">
        <f>'(F2) Shpenzimet sipas nenfunk.b'!C63</f>
        <v>0</v>
      </c>
      <c r="D63" s="153">
        <f>'KB 20'!J$112</f>
        <v>0</v>
      </c>
      <c r="E63" s="153">
        <f>'KB 20'!J$119</f>
        <v>0</v>
      </c>
      <c r="F63" s="762">
        <f t="shared" si="6"/>
        <v>0</v>
      </c>
      <c r="G63" s="761">
        <f>'(F2) Shpenzimet sipas nenfunk.b'!D63</f>
        <v>0</v>
      </c>
      <c r="H63" s="153">
        <f>'KB 20'!K$112</f>
        <v>0</v>
      </c>
      <c r="I63" s="153">
        <f>'KB 20'!K$119</f>
        <v>0</v>
      </c>
      <c r="J63" s="762">
        <f t="shared" si="7"/>
        <v>0</v>
      </c>
      <c r="K63" s="761">
        <f>'(F2) Shpenzimet sipas nenfunk.b'!E63</f>
        <v>0</v>
      </c>
      <c r="L63" s="153">
        <f>'KB 20'!L$112</f>
        <v>0</v>
      </c>
      <c r="M63" s="153">
        <f>'KB 20'!L$119</f>
        <v>0</v>
      </c>
      <c r="N63" s="762">
        <f t="shared" si="8"/>
        <v>0</v>
      </c>
      <c r="O63" s="761">
        <f>'(F2) Shpenzimet sipas nenfunk.b'!I63</f>
        <v>0</v>
      </c>
      <c r="P63" s="153">
        <f>'KB 20'!M$112</f>
        <v>0</v>
      </c>
      <c r="Q63" s="153">
        <f>'KB 20'!M$119</f>
        <v>0</v>
      </c>
      <c r="R63" s="762">
        <f t="shared" si="9"/>
        <v>0</v>
      </c>
      <c r="S63" s="761">
        <f>'(F2) Shpenzimet sipas nenfunk.b'!M63</f>
        <v>0</v>
      </c>
      <c r="T63" s="153">
        <f>'KB 20'!N$112</f>
        <v>0</v>
      </c>
      <c r="U63" s="153">
        <f>'KB 20'!N$119</f>
        <v>0</v>
      </c>
      <c r="V63" s="762">
        <f t="shared" si="10"/>
        <v>0</v>
      </c>
      <c r="W63" s="761">
        <f>'(F2) Shpenzimet sipas nenfunk.b'!Q63</f>
        <v>0</v>
      </c>
      <c r="X63" s="153">
        <f>'KB 20'!O$112</f>
        <v>0</v>
      </c>
      <c r="Y63" s="153">
        <f>'KB 20'!O$119</f>
        <v>0</v>
      </c>
      <c r="Z63" s="762">
        <f t="shared" si="11"/>
        <v>0</v>
      </c>
    </row>
    <row r="64" spans="1:26" s="104" customFormat="1" ht="15" hidden="1" customHeight="1" x14ac:dyDescent="0.2">
      <c r="A64" s="731" t="str">
        <f>'(F2) Shpenzimet sipas nenfunk.b'!A64</f>
        <v>08280</v>
      </c>
      <c r="B64" s="788" t="str">
        <f>'(F2) Shpenzimet sipas nenfunk.b'!B64</f>
        <v xml:space="preserve">Muzetë, teatrot dhe eventet kulturore </v>
      </c>
      <c r="C64" s="761">
        <f>'(F2) Shpenzimet sipas nenfunk.b'!C64</f>
        <v>0</v>
      </c>
      <c r="D64" s="153">
        <f>'KB 20'!J$151</f>
        <v>0</v>
      </c>
      <c r="E64" s="153">
        <f>'KB 20'!J$158</f>
        <v>0</v>
      </c>
      <c r="F64" s="762">
        <f t="shared" si="6"/>
        <v>0</v>
      </c>
      <c r="G64" s="761">
        <f>'(F2) Shpenzimet sipas nenfunk.b'!D64</f>
        <v>0</v>
      </c>
      <c r="H64" s="153">
        <f>'KB 20'!K$151</f>
        <v>0</v>
      </c>
      <c r="I64" s="153">
        <f>'KB 20'!K$158</f>
        <v>0</v>
      </c>
      <c r="J64" s="762">
        <f t="shared" si="7"/>
        <v>0</v>
      </c>
      <c r="K64" s="761">
        <f>'(F2) Shpenzimet sipas nenfunk.b'!E64</f>
        <v>0</v>
      </c>
      <c r="L64" s="153">
        <f>'KB 20'!L$151</f>
        <v>0</v>
      </c>
      <c r="M64" s="153">
        <f>'KB 20'!L$158</f>
        <v>0</v>
      </c>
      <c r="N64" s="762">
        <f t="shared" si="8"/>
        <v>0</v>
      </c>
      <c r="O64" s="761">
        <f>'(F2) Shpenzimet sipas nenfunk.b'!I64</f>
        <v>0</v>
      </c>
      <c r="P64" s="153">
        <f>'KB 20'!M$151</f>
        <v>0</v>
      </c>
      <c r="Q64" s="153">
        <f>'KB 20'!M$158</f>
        <v>0</v>
      </c>
      <c r="R64" s="762">
        <f t="shared" si="9"/>
        <v>0</v>
      </c>
      <c r="S64" s="761">
        <f>'(F2) Shpenzimet sipas nenfunk.b'!M64</f>
        <v>0</v>
      </c>
      <c r="T64" s="153">
        <f>'KB 20'!N$151</f>
        <v>0</v>
      </c>
      <c r="U64" s="153">
        <f>'KB 20'!N$158</f>
        <v>0</v>
      </c>
      <c r="V64" s="762">
        <f t="shared" si="10"/>
        <v>0</v>
      </c>
      <c r="W64" s="761">
        <f>'(F2) Shpenzimet sipas nenfunk.b'!Q64</f>
        <v>0</v>
      </c>
      <c r="X64" s="153">
        <f>'KB 20'!O$151</f>
        <v>0</v>
      </c>
      <c r="Y64" s="153">
        <f>'KB 20'!O$158</f>
        <v>0</v>
      </c>
      <c r="Z64" s="762">
        <f t="shared" si="11"/>
        <v>0</v>
      </c>
    </row>
    <row r="65" spans="1:26" s="741" customFormat="1" ht="15" customHeight="1" x14ac:dyDescent="0.2">
      <c r="A65" s="730" t="str">
        <f>'(F2) Shpenzimet sipas nenfunk.b'!A65</f>
        <v>Nënfunksioni 21</v>
      </c>
      <c r="B65" s="757" t="str">
        <f>'(F2) Shpenzimet sipas nenfunk.b'!B65</f>
        <v>091 Arsimi bazë dhe parashkollor</v>
      </c>
      <c r="C65" s="759">
        <f>'(F2) Shpenzimet sipas nenfunk.b'!C65</f>
        <v>136432</v>
      </c>
      <c r="D65" s="740">
        <f>'KB 21'!J$19</f>
        <v>0</v>
      </c>
      <c r="E65" s="740">
        <f>'KB 21'!J$27</f>
        <v>136432</v>
      </c>
      <c r="F65" s="760">
        <f t="shared" si="6"/>
        <v>0</v>
      </c>
      <c r="G65" s="759">
        <f>'(F2) Shpenzimet sipas nenfunk.b'!D65</f>
        <v>136432</v>
      </c>
      <c r="H65" s="740">
        <f>'KB 21'!K$19</f>
        <v>0</v>
      </c>
      <c r="I65" s="740">
        <f>'KB 21'!K$27</f>
        <v>136432</v>
      </c>
      <c r="J65" s="760">
        <f t="shared" si="7"/>
        <v>0</v>
      </c>
      <c r="K65" s="759">
        <f>'(F2) Shpenzimet sipas nenfunk.b'!E65</f>
        <v>136432</v>
      </c>
      <c r="L65" s="740">
        <f>'KB 21'!L$19</f>
        <v>0</v>
      </c>
      <c r="M65" s="740">
        <f>'KB 21'!L$27</f>
        <v>136432</v>
      </c>
      <c r="N65" s="760">
        <f t="shared" si="8"/>
        <v>0</v>
      </c>
      <c r="O65" s="759">
        <f>'(F2) Shpenzimet sipas nenfunk.b'!I65</f>
        <v>157605</v>
      </c>
      <c r="P65" s="740">
        <f>'KB 21'!M$19</f>
        <v>0</v>
      </c>
      <c r="Q65" s="740">
        <f>'KB 21'!M$27</f>
        <v>0</v>
      </c>
      <c r="R65" s="760">
        <f t="shared" si="9"/>
        <v>157605</v>
      </c>
      <c r="S65" s="759">
        <f>'(F2) Shpenzimet sipas nenfunk.b'!M65</f>
        <v>157605</v>
      </c>
      <c r="T65" s="740">
        <f>'KB 21'!N$19</f>
        <v>0</v>
      </c>
      <c r="U65" s="740">
        <f>'KB 21'!N$27</f>
        <v>0</v>
      </c>
      <c r="V65" s="760">
        <f t="shared" si="10"/>
        <v>157605</v>
      </c>
      <c r="W65" s="759">
        <f>'(F2) Shpenzimet sipas nenfunk.b'!Q65</f>
        <v>157605</v>
      </c>
      <c r="X65" s="740">
        <f>'KB 21'!O$19</f>
        <v>0</v>
      </c>
      <c r="Y65" s="740">
        <f>'KB 21'!O$27</f>
        <v>0</v>
      </c>
      <c r="Z65" s="760">
        <f t="shared" si="11"/>
        <v>157605</v>
      </c>
    </row>
    <row r="66" spans="1:26" s="104" customFormat="1" ht="15" customHeight="1" x14ac:dyDescent="0.2">
      <c r="A66" s="731" t="str">
        <f>'(F2) Shpenzimet sipas nenfunk.b'!A66</f>
        <v>09120</v>
      </c>
      <c r="B66" s="788" t="str">
        <f>'(F2) Shpenzimet sipas nenfunk.b'!B66</f>
        <v>Arsimi bazë përfshirë arsimin parashkollor.</v>
      </c>
      <c r="C66" s="761">
        <f>'(F2) Shpenzimet sipas nenfunk.b'!C66</f>
        <v>136432</v>
      </c>
      <c r="D66" s="153">
        <f>'KB 21'!J$73</f>
        <v>0</v>
      </c>
      <c r="E66" s="153">
        <f>'KB 21'!J$80</f>
        <v>136432</v>
      </c>
      <c r="F66" s="762">
        <f t="shared" si="6"/>
        <v>0</v>
      </c>
      <c r="G66" s="761">
        <f>'(F2) Shpenzimet sipas nenfunk.b'!D66</f>
        <v>136432</v>
      </c>
      <c r="H66" s="153">
        <f>'KB 21'!K$73</f>
        <v>0</v>
      </c>
      <c r="I66" s="153">
        <f>'KB 21'!K$80</f>
        <v>136432</v>
      </c>
      <c r="J66" s="762">
        <f t="shared" si="7"/>
        <v>0</v>
      </c>
      <c r="K66" s="761">
        <f>'(F2) Shpenzimet sipas nenfunk.b'!E66</f>
        <v>136432</v>
      </c>
      <c r="L66" s="153">
        <f>'KB 21'!L$73</f>
        <v>0</v>
      </c>
      <c r="M66" s="153">
        <f>'KB 21'!L$80</f>
        <v>136432</v>
      </c>
      <c r="N66" s="762">
        <f t="shared" si="8"/>
        <v>0</v>
      </c>
      <c r="O66" s="761">
        <f>'(F2) Shpenzimet sipas nenfunk.b'!I66</f>
        <v>157605</v>
      </c>
      <c r="P66" s="153">
        <f>'KB 21'!M$73</f>
        <v>0</v>
      </c>
      <c r="Q66" s="153">
        <f>'KB 21'!M$80</f>
        <v>0</v>
      </c>
      <c r="R66" s="762">
        <f t="shared" si="9"/>
        <v>157605</v>
      </c>
      <c r="S66" s="761">
        <f>'(F2) Shpenzimet sipas nenfunk.b'!M66</f>
        <v>157605</v>
      </c>
      <c r="T66" s="153">
        <f>'KB 21'!N$73</f>
        <v>0</v>
      </c>
      <c r="U66" s="153">
        <f>'KB 21'!N$80</f>
        <v>0</v>
      </c>
      <c r="V66" s="762">
        <f t="shared" si="10"/>
        <v>157605</v>
      </c>
      <c r="W66" s="761">
        <f>'(F2) Shpenzimet sipas nenfunk.b'!Q66</f>
        <v>157605</v>
      </c>
      <c r="X66" s="153">
        <f>'KB 21'!O$73</f>
        <v>0</v>
      </c>
      <c r="Y66" s="153">
        <f>'KB 21'!O$80</f>
        <v>0</v>
      </c>
      <c r="Z66" s="762">
        <f t="shared" si="11"/>
        <v>157605</v>
      </c>
    </row>
    <row r="67" spans="1:26" s="741" customFormat="1" ht="15" customHeight="1" x14ac:dyDescent="0.2">
      <c r="A67" s="730" t="str">
        <f>'(F2) Shpenzimet sipas nenfunk.b'!A67</f>
        <v>Nënfunksioni 22</v>
      </c>
      <c r="B67" s="757" t="str">
        <f>'(F2) Shpenzimet sipas nenfunk.b'!B67</f>
        <v>092 Arsimi  parauniversitar</v>
      </c>
      <c r="C67" s="759">
        <f>'(F2) Shpenzimet sipas nenfunk.b'!C67</f>
        <v>30860</v>
      </c>
      <c r="D67" s="740">
        <f>'KB 22'!J$19</f>
        <v>0</v>
      </c>
      <c r="E67" s="740">
        <f>'KB 22'!J$27</f>
        <v>30860</v>
      </c>
      <c r="F67" s="760">
        <f t="shared" si="6"/>
        <v>0</v>
      </c>
      <c r="G67" s="759">
        <f>'(F2) Shpenzimet sipas nenfunk.b'!D67</f>
        <v>30860</v>
      </c>
      <c r="H67" s="740">
        <f>'KB 22'!K$19</f>
        <v>0</v>
      </c>
      <c r="I67" s="740">
        <f>'KB 22'!K$27</f>
        <v>30860</v>
      </c>
      <c r="J67" s="760">
        <f t="shared" si="7"/>
        <v>0</v>
      </c>
      <c r="K67" s="759">
        <f>'(F2) Shpenzimet sipas nenfunk.b'!E67</f>
        <v>30860</v>
      </c>
      <c r="L67" s="740">
        <f>'KB 22'!L$19</f>
        <v>0</v>
      </c>
      <c r="M67" s="740">
        <f>'KB 22'!L$27</f>
        <v>30860</v>
      </c>
      <c r="N67" s="760">
        <f t="shared" si="8"/>
        <v>0</v>
      </c>
      <c r="O67" s="759">
        <f>'(F2) Shpenzimet sipas nenfunk.b'!I67</f>
        <v>47632</v>
      </c>
      <c r="P67" s="740">
        <f>'KB 22'!M$19</f>
        <v>0</v>
      </c>
      <c r="Q67" s="740">
        <f>'KB 22'!M$27</f>
        <v>0</v>
      </c>
      <c r="R67" s="760">
        <f t="shared" si="9"/>
        <v>47632</v>
      </c>
      <c r="S67" s="759">
        <f>'(F2) Shpenzimet sipas nenfunk.b'!M67</f>
        <v>47632</v>
      </c>
      <c r="T67" s="740">
        <f>'KB 22'!N$19</f>
        <v>0</v>
      </c>
      <c r="U67" s="740">
        <f>'KB 22'!N$27</f>
        <v>0</v>
      </c>
      <c r="V67" s="760">
        <f t="shared" si="10"/>
        <v>47632</v>
      </c>
      <c r="W67" s="759">
        <f>'(F2) Shpenzimet sipas nenfunk.b'!Q67</f>
        <v>47632</v>
      </c>
      <c r="X67" s="740">
        <f>'KB 22'!O$19</f>
        <v>0</v>
      </c>
      <c r="Y67" s="740">
        <f>'KB 22'!O$27</f>
        <v>0</v>
      </c>
      <c r="Z67" s="760">
        <f t="shared" si="11"/>
        <v>47632</v>
      </c>
    </row>
    <row r="68" spans="1:26" s="104" customFormat="1" ht="15" customHeight="1" x14ac:dyDescent="0.2">
      <c r="A68" s="731" t="str">
        <f>'(F2) Shpenzimet sipas nenfunk.b'!A68</f>
        <v>09230</v>
      </c>
      <c r="B68" s="788" t="str">
        <f>'(F2) Shpenzimet sipas nenfunk.b'!B68</f>
        <v>Arsimi i mesëm i përgjithshëm</v>
      </c>
      <c r="C68" s="761">
        <f>'(F2) Shpenzimet sipas nenfunk.b'!C68</f>
        <v>7896</v>
      </c>
      <c r="D68" s="153">
        <f>'KB 22'!J$73</f>
        <v>0</v>
      </c>
      <c r="E68" s="153">
        <f>'KB 22'!J$80</f>
        <v>7896</v>
      </c>
      <c r="F68" s="762">
        <f t="shared" si="6"/>
        <v>0</v>
      </c>
      <c r="G68" s="761">
        <f>'(F2) Shpenzimet sipas nenfunk.b'!D68</f>
        <v>7896</v>
      </c>
      <c r="H68" s="153">
        <f>'KB 22'!K$73</f>
        <v>0</v>
      </c>
      <c r="I68" s="153">
        <f>'KB 22'!K$80</f>
        <v>7896</v>
      </c>
      <c r="J68" s="762">
        <f t="shared" si="7"/>
        <v>0</v>
      </c>
      <c r="K68" s="761">
        <f>'(F2) Shpenzimet sipas nenfunk.b'!E68</f>
        <v>7896</v>
      </c>
      <c r="L68" s="153">
        <f>'KB 22'!L$73</f>
        <v>0</v>
      </c>
      <c r="M68" s="153">
        <f>'KB 22'!L$80</f>
        <v>7896</v>
      </c>
      <c r="N68" s="762">
        <f t="shared" si="8"/>
        <v>0</v>
      </c>
      <c r="O68" s="761">
        <f>'(F2) Shpenzimet sipas nenfunk.b'!I68</f>
        <v>13596</v>
      </c>
      <c r="P68" s="153">
        <f>'KB 22'!M$73</f>
        <v>0</v>
      </c>
      <c r="Q68" s="153">
        <f>'KB 22'!M$80</f>
        <v>0</v>
      </c>
      <c r="R68" s="762">
        <f t="shared" si="9"/>
        <v>13596</v>
      </c>
      <c r="S68" s="761">
        <f>'(F2) Shpenzimet sipas nenfunk.b'!M68</f>
        <v>13596</v>
      </c>
      <c r="T68" s="153">
        <f>'KB 22'!N$73</f>
        <v>0</v>
      </c>
      <c r="U68" s="153">
        <f>'KB 22'!N$80</f>
        <v>0</v>
      </c>
      <c r="V68" s="762">
        <f t="shared" si="10"/>
        <v>13596</v>
      </c>
      <c r="W68" s="761">
        <f>'(F2) Shpenzimet sipas nenfunk.b'!Q68</f>
        <v>13596</v>
      </c>
      <c r="X68" s="153">
        <f>'KB 22'!O$73</f>
        <v>0</v>
      </c>
      <c r="Y68" s="153">
        <f>'KB 22'!O$80</f>
        <v>0</v>
      </c>
      <c r="Z68" s="762">
        <f t="shared" si="11"/>
        <v>13596</v>
      </c>
    </row>
    <row r="69" spans="1:26" s="104" customFormat="1" ht="15" hidden="1" customHeight="1" x14ac:dyDescent="0.2">
      <c r="A69" s="731" t="str">
        <f>'(F2) Shpenzimet sipas nenfunk.b'!A69</f>
        <v>09232</v>
      </c>
      <c r="B69" s="788" t="str">
        <f>'(F2) Shpenzimet sipas nenfunk.b'!B69</f>
        <v>Pagat e stafit mbështetës</v>
      </c>
      <c r="C69" s="761">
        <f>'(F2) Shpenzimet sipas nenfunk.b'!C69</f>
        <v>0</v>
      </c>
      <c r="D69" s="153">
        <f>'KB 22'!J$112</f>
        <v>0</v>
      </c>
      <c r="E69" s="153">
        <f>'KB 22'!J$119</f>
        <v>0</v>
      </c>
      <c r="F69" s="762">
        <f t="shared" si="6"/>
        <v>0</v>
      </c>
      <c r="G69" s="761">
        <f>'(F2) Shpenzimet sipas nenfunk.b'!D69</f>
        <v>0</v>
      </c>
      <c r="H69" s="153">
        <f>'KB 22'!K$112</f>
        <v>0</v>
      </c>
      <c r="I69" s="153">
        <f>'KB 22'!K$119</f>
        <v>0</v>
      </c>
      <c r="J69" s="762">
        <f t="shared" si="7"/>
        <v>0</v>
      </c>
      <c r="K69" s="761">
        <f>'(F2) Shpenzimet sipas nenfunk.b'!E69</f>
        <v>0</v>
      </c>
      <c r="L69" s="153">
        <f>'KB 22'!L$112</f>
        <v>0</v>
      </c>
      <c r="M69" s="153">
        <f>'KB 22'!L$119</f>
        <v>0</v>
      </c>
      <c r="N69" s="762">
        <f t="shared" si="8"/>
        <v>0</v>
      </c>
      <c r="O69" s="761">
        <f>'(F2) Shpenzimet sipas nenfunk.b'!I69</f>
        <v>0</v>
      </c>
      <c r="P69" s="153">
        <f>'KB 22'!M$112</f>
        <v>0</v>
      </c>
      <c r="Q69" s="153">
        <f>'KB 22'!M$119</f>
        <v>0</v>
      </c>
      <c r="R69" s="762">
        <f t="shared" si="9"/>
        <v>0</v>
      </c>
      <c r="S69" s="761">
        <f>'(F2) Shpenzimet sipas nenfunk.b'!M69</f>
        <v>0</v>
      </c>
      <c r="T69" s="153">
        <f>'KB 22'!N$112</f>
        <v>0</v>
      </c>
      <c r="U69" s="153">
        <f>'KB 22'!N$119</f>
        <v>0</v>
      </c>
      <c r="V69" s="762">
        <f t="shared" si="10"/>
        <v>0</v>
      </c>
      <c r="W69" s="761">
        <f>'(F2) Shpenzimet sipas nenfunk.b'!Q69</f>
        <v>0</v>
      </c>
      <c r="X69" s="153">
        <f>'KB 22'!O$112</f>
        <v>0</v>
      </c>
      <c r="Y69" s="153">
        <f>'KB 22'!O$119</f>
        <v>0</v>
      </c>
      <c r="Z69" s="762">
        <f t="shared" si="11"/>
        <v>0</v>
      </c>
    </row>
    <row r="70" spans="1:26" s="104" customFormat="1" ht="15" customHeight="1" x14ac:dyDescent="0.2">
      <c r="A70" s="731" t="str">
        <f>'(F2) Shpenzimet sipas nenfunk.b'!A70</f>
        <v>09240</v>
      </c>
      <c r="B70" s="788" t="str">
        <f>'(F2) Shpenzimet sipas nenfunk.b'!B70</f>
        <v>Arsimi profesional</v>
      </c>
      <c r="C70" s="761">
        <f>'(F2) Shpenzimet sipas nenfunk.b'!C70</f>
        <v>22964</v>
      </c>
      <c r="D70" s="153">
        <f>'KB 22'!J$151</f>
        <v>0</v>
      </c>
      <c r="E70" s="153">
        <f>'KB 22'!J$158</f>
        <v>22964</v>
      </c>
      <c r="F70" s="762">
        <f t="shared" si="6"/>
        <v>0</v>
      </c>
      <c r="G70" s="761">
        <f>'(F2) Shpenzimet sipas nenfunk.b'!D70</f>
        <v>22964</v>
      </c>
      <c r="H70" s="153">
        <f>'KB 22'!K$151</f>
        <v>0</v>
      </c>
      <c r="I70" s="153">
        <f>'KB 22'!K$158</f>
        <v>22964</v>
      </c>
      <c r="J70" s="762">
        <f t="shared" si="7"/>
        <v>0</v>
      </c>
      <c r="K70" s="761">
        <f>'(F2) Shpenzimet sipas nenfunk.b'!E70</f>
        <v>22964</v>
      </c>
      <c r="L70" s="153">
        <f>'KB 22'!L$151</f>
        <v>0</v>
      </c>
      <c r="M70" s="153">
        <f>'KB 22'!L$158</f>
        <v>22964</v>
      </c>
      <c r="N70" s="762">
        <f t="shared" si="8"/>
        <v>0</v>
      </c>
      <c r="O70" s="761">
        <f>'(F2) Shpenzimet sipas nenfunk.b'!I70</f>
        <v>34036</v>
      </c>
      <c r="P70" s="153">
        <f>'KB 22'!M$151</f>
        <v>0</v>
      </c>
      <c r="Q70" s="153">
        <f>'KB 22'!M$158</f>
        <v>0</v>
      </c>
      <c r="R70" s="762">
        <f t="shared" si="9"/>
        <v>34036</v>
      </c>
      <c r="S70" s="761">
        <f>'(F2) Shpenzimet sipas nenfunk.b'!M70</f>
        <v>34036</v>
      </c>
      <c r="T70" s="153">
        <f>'KB 22'!N$151</f>
        <v>0</v>
      </c>
      <c r="U70" s="153">
        <f>'KB 22'!N$158</f>
        <v>0</v>
      </c>
      <c r="V70" s="762">
        <f t="shared" si="10"/>
        <v>34036</v>
      </c>
      <c r="W70" s="761">
        <f>'(F2) Shpenzimet sipas nenfunk.b'!Q70</f>
        <v>34036</v>
      </c>
      <c r="X70" s="153">
        <f>'KB 22'!O$151</f>
        <v>0</v>
      </c>
      <c r="Y70" s="153">
        <f>'KB 22'!O$158</f>
        <v>0</v>
      </c>
      <c r="Z70" s="762">
        <f t="shared" si="11"/>
        <v>34036</v>
      </c>
    </row>
    <row r="71" spans="1:26" s="741" customFormat="1" ht="15" customHeight="1" x14ac:dyDescent="0.2">
      <c r="A71" s="730" t="str">
        <f>'(F2) Shpenzimet sipas nenfunk.b'!A71</f>
        <v>Nënfunksioni 23</v>
      </c>
      <c r="B71" s="757" t="str">
        <f>'(F2) Shpenzimet sipas nenfunk.b'!B71</f>
        <v>101 Sëmundje dhe paaftësi</v>
      </c>
      <c r="C71" s="759">
        <f>'(F2) Shpenzimet sipas nenfunk.b'!C71</f>
        <v>360479</v>
      </c>
      <c r="D71" s="740">
        <f>'KB 23'!J$19</f>
        <v>0</v>
      </c>
      <c r="E71" s="740">
        <f>'KB 23'!J$27</f>
        <v>360479</v>
      </c>
      <c r="F71" s="760">
        <f t="shared" si="6"/>
        <v>0</v>
      </c>
      <c r="G71" s="759">
        <f>'(F2) Shpenzimet sipas nenfunk.b'!D71</f>
        <v>554706</v>
      </c>
      <c r="H71" s="740">
        <f>'KB 23'!K$19</f>
        <v>0</v>
      </c>
      <c r="I71" s="740">
        <f>'KB 23'!K$27</f>
        <v>360479</v>
      </c>
      <c r="J71" s="760">
        <f t="shared" si="7"/>
        <v>194227</v>
      </c>
      <c r="K71" s="759">
        <f>'(F2) Shpenzimet sipas nenfunk.b'!E71</f>
        <v>598734</v>
      </c>
      <c r="L71" s="740">
        <f>'KB 23'!L$19</f>
        <v>0</v>
      </c>
      <c r="M71" s="740">
        <f>'KB 23'!L$27</f>
        <v>360479</v>
      </c>
      <c r="N71" s="760">
        <f t="shared" si="8"/>
        <v>238255</v>
      </c>
      <c r="O71" s="759">
        <f>'(F2) Shpenzimet sipas nenfunk.b'!I71</f>
        <v>340244</v>
      </c>
      <c r="P71" s="740">
        <f>'KB 23'!M$19</f>
        <v>0</v>
      </c>
      <c r="Q71" s="740">
        <f>'KB 23'!M$27</f>
        <v>0</v>
      </c>
      <c r="R71" s="760">
        <f t="shared" si="9"/>
        <v>340244</v>
      </c>
      <c r="S71" s="759">
        <f>'(F2) Shpenzimet sipas nenfunk.b'!M71</f>
        <v>343244</v>
      </c>
      <c r="T71" s="740">
        <f>'KB 23'!N$19</f>
        <v>0</v>
      </c>
      <c r="U71" s="740">
        <f>'KB 23'!N$27</f>
        <v>0</v>
      </c>
      <c r="V71" s="760">
        <f t="shared" si="10"/>
        <v>343244</v>
      </c>
      <c r="W71" s="759">
        <f>'(F2) Shpenzimet sipas nenfunk.b'!Q71</f>
        <v>340244</v>
      </c>
      <c r="X71" s="740">
        <f>'KB 23'!O$19</f>
        <v>0</v>
      </c>
      <c r="Y71" s="740">
        <f>'KB 23'!O$27</f>
        <v>0</v>
      </c>
      <c r="Z71" s="760">
        <f t="shared" si="11"/>
        <v>340244</v>
      </c>
    </row>
    <row r="72" spans="1:26" s="104" customFormat="1" ht="15" customHeight="1" x14ac:dyDescent="0.2">
      <c r="A72" s="731" t="str">
        <f>'(F2) Shpenzimet sipas nenfunk.b'!A72</f>
        <v>10140</v>
      </c>
      <c r="B72" s="788" t="str">
        <f>'(F2) Shpenzimet sipas nenfunk.b'!B72</f>
        <v>Kujdesi social për personat e sëmurë dhe me aftësi të kufizuara</v>
      </c>
      <c r="C72" s="761">
        <f>'(F2) Shpenzimet sipas nenfunk.b'!C72</f>
        <v>360479</v>
      </c>
      <c r="D72" s="153">
        <f>'KB 23'!J$73</f>
        <v>0</v>
      </c>
      <c r="E72" s="153">
        <f>'KB 23'!J$80</f>
        <v>360479</v>
      </c>
      <c r="F72" s="762">
        <f t="shared" si="6"/>
        <v>0</v>
      </c>
      <c r="G72" s="761">
        <f>'(F2) Shpenzimet sipas nenfunk.b'!D72</f>
        <v>554706</v>
      </c>
      <c r="H72" s="153">
        <f>'KB 23'!K$73</f>
        <v>0</v>
      </c>
      <c r="I72" s="153">
        <f>'KB 23'!K$80</f>
        <v>360479</v>
      </c>
      <c r="J72" s="762">
        <f t="shared" si="7"/>
        <v>194227</v>
      </c>
      <c r="K72" s="761">
        <f>'(F2) Shpenzimet sipas nenfunk.b'!E72</f>
        <v>598734</v>
      </c>
      <c r="L72" s="153">
        <f>'KB 23'!L$73</f>
        <v>0</v>
      </c>
      <c r="M72" s="153">
        <f>'KB 23'!L$80</f>
        <v>360479</v>
      </c>
      <c r="N72" s="762">
        <f t="shared" si="8"/>
        <v>238255</v>
      </c>
      <c r="O72" s="761">
        <f>'(F2) Shpenzimet sipas nenfunk.b'!I72</f>
        <v>340244</v>
      </c>
      <c r="P72" s="153">
        <f>'KB 23'!M$73</f>
        <v>0</v>
      </c>
      <c r="Q72" s="153">
        <f>'KB 23'!M$80</f>
        <v>0</v>
      </c>
      <c r="R72" s="762">
        <f t="shared" si="9"/>
        <v>340244</v>
      </c>
      <c r="S72" s="761">
        <f>'(F2) Shpenzimet sipas nenfunk.b'!M72</f>
        <v>343244</v>
      </c>
      <c r="T72" s="153">
        <f>'KB 23'!N$73</f>
        <v>0</v>
      </c>
      <c r="U72" s="153">
        <f>'KB 23'!N$80</f>
        <v>0</v>
      </c>
      <c r="V72" s="762">
        <f t="shared" si="10"/>
        <v>343244</v>
      </c>
      <c r="W72" s="761">
        <f>'(F2) Shpenzimet sipas nenfunk.b'!Q72</f>
        <v>340244</v>
      </c>
      <c r="X72" s="153">
        <f>'KB 23'!O$73</f>
        <v>0</v>
      </c>
      <c r="Y72" s="153">
        <f>'KB 23'!O$80</f>
        <v>0</v>
      </c>
      <c r="Z72" s="762">
        <f t="shared" si="11"/>
        <v>340244</v>
      </c>
    </row>
    <row r="73" spans="1:26" s="741" customFormat="1" ht="15" customHeight="1" x14ac:dyDescent="0.2">
      <c r="A73" s="730" t="str">
        <f>'(F2) Shpenzimet sipas nenfunk.b'!A73</f>
        <v>Nënfunksioni 24</v>
      </c>
      <c r="B73" s="757" t="str">
        <f>'(F2) Shpenzimet sipas nenfunk.b'!B73</f>
        <v>102 Të moshuarit</v>
      </c>
      <c r="C73" s="759">
        <f>'(F2) Shpenzimet sipas nenfunk.b'!C73</f>
        <v>0</v>
      </c>
      <c r="D73" s="740">
        <f>'KB 24'!J$19</f>
        <v>0</v>
      </c>
      <c r="E73" s="740">
        <f>'KB 24'!J$27</f>
        <v>0</v>
      </c>
      <c r="F73" s="760">
        <f t="shared" si="6"/>
        <v>0</v>
      </c>
      <c r="G73" s="759">
        <f>'(F2) Shpenzimet sipas nenfunk.b'!D73</f>
        <v>0</v>
      </c>
      <c r="H73" s="740">
        <f>'KB 24'!K$19</f>
        <v>0</v>
      </c>
      <c r="I73" s="740">
        <f>'KB 24'!K$27</f>
        <v>0</v>
      </c>
      <c r="J73" s="760">
        <f t="shared" si="7"/>
        <v>0</v>
      </c>
      <c r="K73" s="759">
        <f>'(F2) Shpenzimet sipas nenfunk.b'!E73</f>
        <v>0</v>
      </c>
      <c r="L73" s="740">
        <f>'KB 24'!L$19</f>
        <v>0</v>
      </c>
      <c r="M73" s="740">
        <f>'KB 24'!L$27</f>
        <v>0</v>
      </c>
      <c r="N73" s="760">
        <f t="shared" si="8"/>
        <v>0</v>
      </c>
      <c r="O73" s="759">
        <f>'(F2) Shpenzimet sipas nenfunk.b'!I73</f>
        <v>0</v>
      </c>
      <c r="P73" s="740">
        <f>'KB 24'!M$19</f>
        <v>0</v>
      </c>
      <c r="Q73" s="740">
        <f>'KB 24'!M$27</f>
        <v>0</v>
      </c>
      <c r="R73" s="760">
        <f t="shared" si="9"/>
        <v>0</v>
      </c>
      <c r="S73" s="759">
        <f>'(F2) Shpenzimet sipas nenfunk.b'!M73</f>
        <v>0</v>
      </c>
      <c r="T73" s="740">
        <f>'KB 24'!N$19</f>
        <v>0</v>
      </c>
      <c r="U73" s="740">
        <f>'KB 24'!N$27</f>
        <v>0</v>
      </c>
      <c r="V73" s="760">
        <f t="shared" si="10"/>
        <v>0</v>
      </c>
      <c r="W73" s="759">
        <f>'(F2) Shpenzimet sipas nenfunk.b'!Q73</f>
        <v>0</v>
      </c>
      <c r="X73" s="740">
        <f>'KB 24'!O$19</f>
        <v>0</v>
      </c>
      <c r="Y73" s="740">
        <f>'KB 24'!O$27</f>
        <v>0</v>
      </c>
      <c r="Z73" s="760">
        <f t="shared" si="11"/>
        <v>0</v>
      </c>
    </row>
    <row r="74" spans="1:26" s="104" customFormat="1" ht="15" customHeight="1" x14ac:dyDescent="0.2">
      <c r="A74" s="731" t="str">
        <f>'(F2) Shpenzimet sipas nenfunk.b'!A74</f>
        <v>10220</v>
      </c>
      <c r="B74" s="788" t="str">
        <f>'(F2) Shpenzimet sipas nenfunk.b'!B74</f>
        <v>Sigurimi shoqëror</v>
      </c>
      <c r="C74" s="761">
        <f>'(F2) Shpenzimet sipas nenfunk.b'!C74</f>
        <v>0</v>
      </c>
      <c r="D74" s="153">
        <f>'KB 24'!J$73</f>
        <v>0</v>
      </c>
      <c r="E74" s="153">
        <f>'KB 24'!J$80</f>
        <v>0</v>
      </c>
      <c r="F74" s="762">
        <f t="shared" si="6"/>
        <v>0</v>
      </c>
      <c r="G74" s="761">
        <f>'(F2) Shpenzimet sipas nenfunk.b'!D74</f>
        <v>0</v>
      </c>
      <c r="H74" s="153">
        <f>'KB 24'!K$73</f>
        <v>0</v>
      </c>
      <c r="I74" s="153">
        <f>'KB 24'!K$80</f>
        <v>0</v>
      </c>
      <c r="J74" s="762">
        <f t="shared" si="7"/>
        <v>0</v>
      </c>
      <c r="K74" s="761">
        <f>'(F2) Shpenzimet sipas nenfunk.b'!E74</f>
        <v>0</v>
      </c>
      <c r="L74" s="153">
        <f>'KB 24'!L$73</f>
        <v>0</v>
      </c>
      <c r="M74" s="153">
        <f>'KB 24'!L$80</f>
        <v>0</v>
      </c>
      <c r="N74" s="762">
        <f t="shared" si="8"/>
        <v>0</v>
      </c>
      <c r="O74" s="761">
        <f>'(F2) Shpenzimet sipas nenfunk.b'!I74</f>
        <v>0</v>
      </c>
      <c r="P74" s="153">
        <f>'KB 24'!M$73</f>
        <v>0</v>
      </c>
      <c r="Q74" s="153">
        <f>'KB 24'!M$80</f>
        <v>0</v>
      </c>
      <c r="R74" s="762">
        <f t="shared" si="9"/>
        <v>0</v>
      </c>
      <c r="S74" s="761">
        <f>'(F2) Shpenzimet sipas nenfunk.b'!M74</f>
        <v>0</v>
      </c>
      <c r="T74" s="153">
        <f>'KB 24'!N$73</f>
        <v>0</v>
      </c>
      <c r="U74" s="153">
        <f>'KB 24'!N$80</f>
        <v>0</v>
      </c>
      <c r="V74" s="762">
        <f t="shared" si="10"/>
        <v>0</v>
      </c>
      <c r="W74" s="761">
        <f>'(F2) Shpenzimet sipas nenfunk.b'!Q74</f>
        <v>0</v>
      </c>
      <c r="X74" s="153">
        <f>'KB 24'!O$73</f>
        <v>0</v>
      </c>
      <c r="Y74" s="153">
        <f>'KB 24'!O$80</f>
        <v>0</v>
      </c>
      <c r="Z74" s="762">
        <f t="shared" si="11"/>
        <v>0</v>
      </c>
    </row>
    <row r="75" spans="1:26" s="741" customFormat="1" ht="15" customHeight="1" x14ac:dyDescent="0.2">
      <c r="A75" s="730" t="str">
        <f>'(F2) Shpenzimet sipas nenfunk.b'!A75</f>
        <v>Nënfunksioni 25</v>
      </c>
      <c r="B75" s="757" t="str">
        <f>'(F2) Shpenzimet sipas nenfunk.b'!B75</f>
        <v>104 Familje dhe fëmijë</v>
      </c>
      <c r="C75" s="759">
        <f>'(F2) Shpenzimet sipas nenfunk.b'!C75</f>
        <v>143066</v>
      </c>
      <c r="D75" s="740">
        <f>'KB 25'!J$19</f>
        <v>0</v>
      </c>
      <c r="E75" s="740">
        <f>'KB 25'!J$27</f>
        <v>143066</v>
      </c>
      <c r="F75" s="760">
        <f t="shared" si="6"/>
        <v>0</v>
      </c>
      <c r="G75" s="759">
        <f>'(F2) Shpenzimet sipas nenfunk.b'!D75</f>
        <v>143066</v>
      </c>
      <c r="H75" s="740">
        <f>'KB 25'!K$19</f>
        <v>0</v>
      </c>
      <c r="I75" s="740">
        <f>'KB 25'!K$27</f>
        <v>143066</v>
      </c>
      <c r="J75" s="760">
        <f t="shared" si="7"/>
        <v>0</v>
      </c>
      <c r="K75" s="759">
        <f>'(F2) Shpenzimet sipas nenfunk.b'!E75</f>
        <v>143066</v>
      </c>
      <c r="L75" s="740">
        <f>'KB 25'!L$19</f>
        <v>0</v>
      </c>
      <c r="M75" s="740">
        <f>'KB 25'!L$27</f>
        <v>143066</v>
      </c>
      <c r="N75" s="760">
        <f t="shared" si="8"/>
        <v>0</v>
      </c>
      <c r="O75" s="759">
        <f>'(F2) Shpenzimet sipas nenfunk.b'!I75</f>
        <v>20100</v>
      </c>
      <c r="P75" s="740">
        <f>'KB 25'!M$19</f>
        <v>0</v>
      </c>
      <c r="Q75" s="740">
        <f>'KB 25'!M$27</f>
        <v>0</v>
      </c>
      <c r="R75" s="760">
        <f t="shared" si="9"/>
        <v>20100</v>
      </c>
      <c r="S75" s="759">
        <f>'(F2) Shpenzimet sipas nenfunk.b'!M75</f>
        <v>20044</v>
      </c>
      <c r="T75" s="740">
        <f>'KB 25'!N$19</f>
        <v>0</v>
      </c>
      <c r="U75" s="740">
        <f>'KB 25'!N$27</f>
        <v>0</v>
      </c>
      <c r="V75" s="760">
        <f t="shared" si="10"/>
        <v>20044</v>
      </c>
      <c r="W75" s="759">
        <f>'(F2) Shpenzimet sipas nenfunk.b'!Q75</f>
        <v>20100</v>
      </c>
      <c r="X75" s="740">
        <f>'KB 25'!O$19</f>
        <v>0</v>
      </c>
      <c r="Y75" s="740">
        <f>'KB 25'!O$27</f>
        <v>0</v>
      </c>
      <c r="Z75" s="760">
        <f t="shared" si="11"/>
        <v>20100</v>
      </c>
    </row>
    <row r="76" spans="1:26" s="104" customFormat="1" ht="15" customHeight="1" x14ac:dyDescent="0.2">
      <c r="A76" s="731" t="str">
        <f>'(F2) Shpenzimet sipas nenfunk.b'!A76</f>
        <v>10430</v>
      </c>
      <c r="B76" s="788" t="str">
        <f>'(F2) Shpenzimet sipas nenfunk.b'!B76</f>
        <v>Kujdesi social për familjet dhe fëmijët</v>
      </c>
      <c r="C76" s="761">
        <f>'(F2) Shpenzimet sipas nenfunk.b'!C76</f>
        <v>143066</v>
      </c>
      <c r="D76" s="153">
        <f>'KB 25'!J$73</f>
        <v>0</v>
      </c>
      <c r="E76" s="153">
        <f>'KB 25'!J$80</f>
        <v>143066</v>
      </c>
      <c r="F76" s="762">
        <f t="shared" si="6"/>
        <v>0</v>
      </c>
      <c r="G76" s="761">
        <f>'(F2) Shpenzimet sipas nenfunk.b'!D76</f>
        <v>143066</v>
      </c>
      <c r="H76" s="153">
        <f>'KB 25'!K$73</f>
        <v>0</v>
      </c>
      <c r="I76" s="153">
        <f>'KB 25'!K$80</f>
        <v>143066</v>
      </c>
      <c r="J76" s="762">
        <f t="shared" si="7"/>
        <v>0</v>
      </c>
      <c r="K76" s="761">
        <f>'(F2) Shpenzimet sipas nenfunk.b'!E76</f>
        <v>143066</v>
      </c>
      <c r="L76" s="153">
        <f>'KB 25'!L$73</f>
        <v>0</v>
      </c>
      <c r="M76" s="153">
        <f>'KB 25'!L$80</f>
        <v>143066</v>
      </c>
      <c r="N76" s="762">
        <f t="shared" si="8"/>
        <v>0</v>
      </c>
      <c r="O76" s="761">
        <f>'(F2) Shpenzimet sipas nenfunk.b'!I76</f>
        <v>20100</v>
      </c>
      <c r="P76" s="153">
        <f>'KB 25'!M$73</f>
        <v>0</v>
      </c>
      <c r="Q76" s="153">
        <f>'KB 25'!M$80</f>
        <v>0</v>
      </c>
      <c r="R76" s="762">
        <f t="shared" si="9"/>
        <v>20100</v>
      </c>
      <c r="S76" s="761">
        <f>'(F2) Shpenzimet sipas nenfunk.b'!M76</f>
        <v>20044</v>
      </c>
      <c r="T76" s="153">
        <f>'KB 25'!N$73</f>
        <v>0</v>
      </c>
      <c r="U76" s="153">
        <f>'KB 25'!N$80</f>
        <v>0</v>
      </c>
      <c r="V76" s="762">
        <f t="shared" si="10"/>
        <v>20044</v>
      </c>
      <c r="W76" s="761">
        <f>'(F2) Shpenzimet sipas nenfunk.b'!Q76</f>
        <v>20100</v>
      </c>
      <c r="X76" s="153">
        <f>'KB 25'!O$73</f>
        <v>0</v>
      </c>
      <c r="Y76" s="153">
        <f>'KB 25'!O$80</f>
        <v>0</v>
      </c>
      <c r="Z76" s="762">
        <f t="shared" si="11"/>
        <v>20100</v>
      </c>
    </row>
    <row r="77" spans="1:26" s="104" customFormat="1" ht="15" hidden="1" customHeight="1" x14ac:dyDescent="0.2">
      <c r="A77" s="731" t="str">
        <f>'(F2) Shpenzimet sipas nenfunk.b'!A77</f>
        <v>10460</v>
      </c>
      <c r="B77" s="788" t="str">
        <f>'(F2) Shpenzimet sipas nenfunk.b'!B77</f>
        <v>Përfshirja sociale</v>
      </c>
      <c r="C77" s="761">
        <f>'(F2) Shpenzimet sipas nenfunk.b'!C77</f>
        <v>0</v>
      </c>
      <c r="D77" s="153">
        <f>'KB 25'!J$112</f>
        <v>0</v>
      </c>
      <c r="E77" s="153">
        <f>'KB 25'!J$119</f>
        <v>0</v>
      </c>
      <c r="F77" s="762">
        <f t="shared" si="6"/>
        <v>0</v>
      </c>
      <c r="G77" s="761">
        <f>'(F2) Shpenzimet sipas nenfunk.b'!D77</f>
        <v>0</v>
      </c>
      <c r="H77" s="153">
        <f>'KB 25'!K$112</f>
        <v>0</v>
      </c>
      <c r="I77" s="153">
        <f>'KB 25'!K$119</f>
        <v>0</v>
      </c>
      <c r="J77" s="762">
        <f t="shared" si="7"/>
        <v>0</v>
      </c>
      <c r="K77" s="761">
        <f>'(F2) Shpenzimet sipas nenfunk.b'!E77</f>
        <v>0</v>
      </c>
      <c r="L77" s="153">
        <f>'KB 25'!L$112</f>
        <v>0</v>
      </c>
      <c r="M77" s="153">
        <f>'KB 25'!L$119</f>
        <v>0</v>
      </c>
      <c r="N77" s="762">
        <f t="shared" si="8"/>
        <v>0</v>
      </c>
      <c r="O77" s="761">
        <f>'(F2) Shpenzimet sipas nenfunk.b'!I77</f>
        <v>0</v>
      </c>
      <c r="P77" s="153">
        <f>'KB 25'!M$112</f>
        <v>0</v>
      </c>
      <c r="Q77" s="153">
        <f>'KB 25'!M$119</f>
        <v>0</v>
      </c>
      <c r="R77" s="762">
        <f t="shared" si="9"/>
        <v>0</v>
      </c>
      <c r="S77" s="761">
        <f>'(F2) Shpenzimet sipas nenfunk.b'!M77</f>
        <v>0</v>
      </c>
      <c r="T77" s="153">
        <f>'KB 25'!N$112</f>
        <v>0</v>
      </c>
      <c r="U77" s="153">
        <f>'KB 25'!N$119</f>
        <v>0</v>
      </c>
      <c r="V77" s="762">
        <f t="shared" si="10"/>
        <v>0</v>
      </c>
      <c r="W77" s="761">
        <f>'(F2) Shpenzimet sipas nenfunk.b'!Q77</f>
        <v>0</v>
      </c>
      <c r="X77" s="153">
        <f>'KB 25'!O$112</f>
        <v>0</v>
      </c>
      <c r="Y77" s="153">
        <f>'KB 25'!O$119</f>
        <v>0</v>
      </c>
      <c r="Z77" s="762">
        <f t="shared" si="11"/>
        <v>0</v>
      </c>
    </row>
    <row r="78" spans="1:26" s="741" customFormat="1" ht="15" customHeight="1" x14ac:dyDescent="0.2">
      <c r="A78" s="730" t="str">
        <f>'(F2) Shpenzimet sipas nenfunk.b'!A78</f>
        <v>Nënfunksioni 26</v>
      </c>
      <c r="B78" s="757" t="str">
        <f>'(F2) Shpenzimet sipas nenfunk.b'!B78</f>
        <v>105 Papunësia</v>
      </c>
      <c r="C78" s="759">
        <f>'(F2) Shpenzimet sipas nenfunk.b'!C78</f>
        <v>0</v>
      </c>
      <c r="D78" s="740">
        <f>'KB 26'!J$19</f>
        <v>0</v>
      </c>
      <c r="E78" s="740">
        <f>'KB 26'!J$27</f>
        <v>0</v>
      </c>
      <c r="F78" s="760">
        <f t="shared" si="6"/>
        <v>0</v>
      </c>
      <c r="G78" s="759">
        <f>'(F2) Shpenzimet sipas nenfunk.b'!D78</f>
        <v>0</v>
      </c>
      <c r="H78" s="740">
        <f>'KB 26'!K$19</f>
        <v>0</v>
      </c>
      <c r="I78" s="740">
        <f>'KB 26'!K$27</f>
        <v>0</v>
      </c>
      <c r="J78" s="760">
        <f t="shared" si="7"/>
        <v>0</v>
      </c>
      <c r="K78" s="759">
        <f>'(F2) Shpenzimet sipas nenfunk.b'!E78</f>
        <v>0</v>
      </c>
      <c r="L78" s="740">
        <f>'KB 26'!L$19</f>
        <v>0</v>
      </c>
      <c r="M78" s="740">
        <f>'KB 26'!L$27</f>
        <v>0</v>
      </c>
      <c r="N78" s="760">
        <f t="shared" si="8"/>
        <v>0</v>
      </c>
      <c r="O78" s="759">
        <f>'(F2) Shpenzimet sipas nenfunk.b'!I78</f>
        <v>0</v>
      </c>
      <c r="P78" s="740">
        <f>'KB 26'!M$19</f>
        <v>0</v>
      </c>
      <c r="Q78" s="740">
        <f>'KB 26'!M$27</f>
        <v>0</v>
      </c>
      <c r="R78" s="760">
        <f t="shared" si="9"/>
        <v>0</v>
      </c>
      <c r="S78" s="759">
        <f>'(F2) Shpenzimet sipas nenfunk.b'!M78</f>
        <v>0</v>
      </c>
      <c r="T78" s="740">
        <f>'KB 26'!N$19</f>
        <v>0</v>
      </c>
      <c r="U78" s="740">
        <f>'KB 26'!N$27</f>
        <v>0</v>
      </c>
      <c r="V78" s="760">
        <f t="shared" si="10"/>
        <v>0</v>
      </c>
      <c r="W78" s="759">
        <f>'(F2) Shpenzimet sipas nenfunk.b'!Q78</f>
        <v>0</v>
      </c>
      <c r="X78" s="740">
        <f>'KB 26'!O$19</f>
        <v>0</v>
      </c>
      <c r="Y78" s="740">
        <f>'KB 26'!O$27</f>
        <v>0</v>
      </c>
      <c r="Z78" s="760">
        <f t="shared" si="11"/>
        <v>0</v>
      </c>
    </row>
    <row r="79" spans="1:26" s="104" customFormat="1" ht="15" customHeight="1" x14ac:dyDescent="0.2">
      <c r="A79" s="731" t="str">
        <f>'(F2) Shpenzimet sipas nenfunk.b'!A79</f>
        <v>10550</v>
      </c>
      <c r="B79" s="788" t="str">
        <f>'(F2) Shpenzimet sipas nenfunk.b'!B79</f>
        <v>Papunësia, arsim dhe aftësim</v>
      </c>
      <c r="C79" s="761">
        <f>'(F2) Shpenzimet sipas nenfunk.b'!C79</f>
        <v>0</v>
      </c>
      <c r="D79" s="153">
        <f>'KB 26'!J$73</f>
        <v>0</v>
      </c>
      <c r="E79" s="153">
        <f>'KB 26'!J$80</f>
        <v>0</v>
      </c>
      <c r="F79" s="762">
        <f t="shared" si="6"/>
        <v>0</v>
      </c>
      <c r="G79" s="761">
        <f>'(F2) Shpenzimet sipas nenfunk.b'!D79</f>
        <v>0</v>
      </c>
      <c r="H79" s="153">
        <f>'KB 26'!K$73</f>
        <v>0</v>
      </c>
      <c r="I79" s="153">
        <f>'KB 26'!K$80</f>
        <v>0</v>
      </c>
      <c r="J79" s="762">
        <f t="shared" si="7"/>
        <v>0</v>
      </c>
      <c r="K79" s="761">
        <f>'(F2) Shpenzimet sipas nenfunk.b'!E79</f>
        <v>0</v>
      </c>
      <c r="L79" s="153">
        <f>'KB 26'!L$73</f>
        <v>0</v>
      </c>
      <c r="M79" s="153">
        <f>'KB 26'!L$80</f>
        <v>0</v>
      </c>
      <c r="N79" s="762">
        <f t="shared" si="8"/>
        <v>0</v>
      </c>
      <c r="O79" s="761">
        <f>'(F2) Shpenzimet sipas nenfunk.b'!I79</f>
        <v>0</v>
      </c>
      <c r="P79" s="153">
        <f>'KB 26'!M$73</f>
        <v>0</v>
      </c>
      <c r="Q79" s="153">
        <f>'KB 26'!M$80</f>
        <v>0</v>
      </c>
      <c r="R79" s="762">
        <f t="shared" si="9"/>
        <v>0</v>
      </c>
      <c r="S79" s="761">
        <f>'(F2) Shpenzimet sipas nenfunk.b'!M79</f>
        <v>0</v>
      </c>
      <c r="T79" s="153">
        <f>'KB 26'!N$73</f>
        <v>0</v>
      </c>
      <c r="U79" s="153">
        <f>'KB 26'!N$80</f>
        <v>0</v>
      </c>
      <c r="V79" s="762">
        <f t="shared" si="10"/>
        <v>0</v>
      </c>
      <c r="W79" s="761">
        <f>'(F2) Shpenzimet sipas nenfunk.b'!Q79</f>
        <v>0</v>
      </c>
      <c r="X79" s="153">
        <f>'KB 26'!O$73</f>
        <v>0</v>
      </c>
      <c r="Y79" s="153">
        <f>'KB 26'!O$80</f>
        <v>0</v>
      </c>
      <c r="Z79" s="762">
        <f t="shared" si="11"/>
        <v>0</v>
      </c>
    </row>
    <row r="80" spans="1:26" s="741" customFormat="1" ht="15" customHeight="1" x14ac:dyDescent="0.2">
      <c r="A80" s="730" t="str">
        <f>'(F2) Shpenzimet sipas nenfunk.b'!A80</f>
        <v>Nënfunksioni 27</v>
      </c>
      <c r="B80" s="757" t="str">
        <f>'(F2) Shpenzimet sipas nenfunk.b'!B80</f>
        <v>106 Strehimi social</v>
      </c>
      <c r="C80" s="759">
        <f>'(F2) Shpenzimet sipas nenfunk.b'!C80</f>
        <v>414697</v>
      </c>
      <c r="D80" s="740">
        <f>'KB27'!J$19</f>
        <v>0</v>
      </c>
      <c r="E80" s="740">
        <f>'KB27'!J$27</f>
        <v>320750</v>
      </c>
      <c r="F80" s="760">
        <f t="shared" si="6"/>
        <v>93947</v>
      </c>
      <c r="G80" s="759">
        <f>'(F2) Shpenzimet sipas nenfunk.b'!D80</f>
        <v>414597</v>
      </c>
      <c r="H80" s="740">
        <f>'KB27'!K$19</f>
        <v>0</v>
      </c>
      <c r="I80" s="740">
        <f>'KB27'!K$27</f>
        <v>320750</v>
      </c>
      <c r="J80" s="760">
        <f t="shared" si="7"/>
        <v>93847</v>
      </c>
      <c r="K80" s="759">
        <f>'(F2) Shpenzimet sipas nenfunk.b'!E80</f>
        <v>414697</v>
      </c>
      <c r="L80" s="740">
        <f>'KB27'!L$19</f>
        <v>0</v>
      </c>
      <c r="M80" s="740">
        <f>'KB27'!L$27</f>
        <v>324378</v>
      </c>
      <c r="N80" s="760">
        <f t="shared" si="8"/>
        <v>90319</v>
      </c>
      <c r="O80" s="759">
        <f>'(F2) Shpenzimet sipas nenfunk.b'!I80</f>
        <v>530000</v>
      </c>
      <c r="P80" s="740">
        <f>'KB27'!M$19</f>
        <v>0</v>
      </c>
      <c r="Q80" s="740">
        <f>'KB27'!M$27</f>
        <v>0</v>
      </c>
      <c r="R80" s="760">
        <f t="shared" si="9"/>
        <v>530000</v>
      </c>
      <c r="S80" s="759">
        <f>'(F2) Shpenzimet sipas nenfunk.b'!M80</f>
        <v>532000</v>
      </c>
      <c r="T80" s="740">
        <f>'KB27'!N$19</f>
        <v>0</v>
      </c>
      <c r="U80" s="740">
        <f>'KB27'!N$27</f>
        <v>0</v>
      </c>
      <c r="V80" s="760">
        <f t="shared" si="10"/>
        <v>532000</v>
      </c>
      <c r="W80" s="759">
        <f>'(F2) Shpenzimet sipas nenfunk.b'!Q80</f>
        <v>531408</v>
      </c>
      <c r="X80" s="740">
        <f>'KB27'!O$19</f>
        <v>0</v>
      </c>
      <c r="Y80" s="740">
        <f>'KB27'!O$27</f>
        <v>0</v>
      </c>
      <c r="Z80" s="760">
        <f t="shared" si="11"/>
        <v>531408</v>
      </c>
    </row>
    <row r="81" spans="1:26" s="104" customFormat="1" ht="15" customHeight="1" thickBot="1" x14ac:dyDescent="0.25">
      <c r="A81" s="731" t="str">
        <f>'(F2) Shpenzimet sipas nenfunk.b'!A81</f>
        <v>10661</v>
      </c>
      <c r="B81" s="788" t="str">
        <f>'(F2) Shpenzimet sipas nenfunk.b'!B81</f>
        <v>Strehimi social</v>
      </c>
      <c r="C81" s="761">
        <f>'(F2) Shpenzimet sipas nenfunk.b'!C81</f>
        <v>414697</v>
      </c>
      <c r="D81" s="153">
        <f>'KB27'!J$73</f>
        <v>0</v>
      </c>
      <c r="E81" s="153">
        <f>'KB27'!J$80</f>
        <v>320750</v>
      </c>
      <c r="F81" s="762">
        <f t="shared" si="6"/>
        <v>93947</v>
      </c>
      <c r="G81" s="761">
        <f>'(F2) Shpenzimet sipas nenfunk.b'!D81</f>
        <v>414597</v>
      </c>
      <c r="H81" s="153">
        <f>'KB27'!K$73</f>
        <v>0</v>
      </c>
      <c r="I81" s="153">
        <f>'KB27'!K$80</f>
        <v>320750</v>
      </c>
      <c r="J81" s="762">
        <f t="shared" si="7"/>
        <v>93847</v>
      </c>
      <c r="K81" s="761">
        <f>'(F2) Shpenzimet sipas nenfunk.b'!E81</f>
        <v>414697</v>
      </c>
      <c r="L81" s="153">
        <f>'KB27'!L$73</f>
        <v>0</v>
      </c>
      <c r="M81" s="153">
        <f>'KB27'!L$80</f>
        <v>324378</v>
      </c>
      <c r="N81" s="762">
        <f t="shared" si="8"/>
        <v>90319</v>
      </c>
      <c r="O81" s="761">
        <f>'(F2) Shpenzimet sipas nenfunk.b'!I81</f>
        <v>530000</v>
      </c>
      <c r="P81" s="153">
        <f>'KB27'!M$73</f>
        <v>0</v>
      </c>
      <c r="Q81" s="153">
        <f>'KB27'!M$80</f>
        <v>0</v>
      </c>
      <c r="R81" s="762">
        <f t="shared" si="9"/>
        <v>530000</v>
      </c>
      <c r="S81" s="761">
        <f>'(F2) Shpenzimet sipas nenfunk.b'!M81</f>
        <v>532000</v>
      </c>
      <c r="T81" s="153">
        <f>'KB27'!N$73</f>
        <v>0</v>
      </c>
      <c r="U81" s="153">
        <f>'KB27'!N$80</f>
        <v>0</v>
      </c>
      <c r="V81" s="762">
        <f t="shared" si="10"/>
        <v>532000</v>
      </c>
      <c r="W81" s="761">
        <f>'(F2) Shpenzimet sipas nenfunk.b'!Q81</f>
        <v>531408</v>
      </c>
      <c r="X81" s="153">
        <f>'KB27'!O$73</f>
        <v>0</v>
      </c>
      <c r="Y81" s="153">
        <f>'KB27'!O$80</f>
        <v>0</v>
      </c>
      <c r="Z81" s="762">
        <f t="shared" si="11"/>
        <v>531408</v>
      </c>
    </row>
    <row r="82" spans="1:26" ht="18.75" customHeight="1" thickTop="1" thickBot="1" x14ac:dyDescent="0.25">
      <c r="A82" s="1049" t="str">
        <f>'(G1) Fjalori'!A426</f>
        <v>Totali</v>
      </c>
      <c r="B82" s="1050"/>
      <c r="C82" s="791">
        <f>C6+C10+C14+C16+C18+C20+C25+C30+C34+C37+C39+C41+C43+C46+C49+C52+C54+C56+C58+C61+C65+C67+C71+C73+C75+C78+C80</f>
        <v>1521488</v>
      </c>
      <c r="D82" s="791">
        <f t="shared" ref="D82:Z82" si="13">D6+D10+D14+D16+D18+D20+D25+D30+D34+D37+D39+D41+D43+D46+D49+D52+D54+D56+D58+D61+D65+D67+D71+D73+D75+D78+D80</f>
        <v>95128</v>
      </c>
      <c r="E82" s="791">
        <f t="shared" si="13"/>
        <v>1002212</v>
      </c>
      <c r="F82" s="791">
        <f t="shared" si="13"/>
        <v>424148</v>
      </c>
      <c r="G82" s="791">
        <f t="shared" si="13"/>
        <v>1715615</v>
      </c>
      <c r="H82" s="791">
        <f t="shared" si="13"/>
        <v>95128</v>
      </c>
      <c r="I82" s="791">
        <f t="shared" si="13"/>
        <v>1188506</v>
      </c>
      <c r="J82" s="791">
        <f t="shared" si="13"/>
        <v>431981</v>
      </c>
      <c r="K82" s="791">
        <f t="shared" si="13"/>
        <v>1759743</v>
      </c>
      <c r="L82" s="791">
        <f t="shared" si="13"/>
        <v>95128</v>
      </c>
      <c r="M82" s="791">
        <f t="shared" si="13"/>
        <v>1192134</v>
      </c>
      <c r="N82" s="791">
        <f t="shared" si="13"/>
        <v>472481</v>
      </c>
      <c r="O82" s="791">
        <f t="shared" si="13"/>
        <v>1736771</v>
      </c>
      <c r="P82" s="791">
        <f t="shared" si="13"/>
        <v>0</v>
      </c>
      <c r="Q82" s="791">
        <f t="shared" si="13"/>
        <v>0</v>
      </c>
      <c r="R82" s="791">
        <f t="shared" si="13"/>
        <v>1736771</v>
      </c>
      <c r="S82" s="791">
        <f t="shared" si="13"/>
        <v>1758715</v>
      </c>
      <c r="T82" s="791">
        <f t="shared" si="13"/>
        <v>0</v>
      </c>
      <c r="U82" s="791">
        <f t="shared" si="13"/>
        <v>0</v>
      </c>
      <c r="V82" s="791">
        <f t="shared" si="13"/>
        <v>1758715</v>
      </c>
      <c r="W82" s="791">
        <f t="shared" si="13"/>
        <v>1786878</v>
      </c>
      <c r="X82" s="791">
        <f t="shared" si="13"/>
        <v>0</v>
      </c>
      <c r="Y82" s="791">
        <f t="shared" si="13"/>
        <v>0</v>
      </c>
      <c r="Z82" s="791">
        <f t="shared" si="13"/>
        <v>1786878</v>
      </c>
    </row>
    <row r="83" spans="1:26" ht="13.5" thickTop="1" x14ac:dyDescent="0.2"/>
  </sheetData>
  <sheetProtection algorithmName="SHA-512" hashValue="OfGopr1cQmKB2c8GpBugXu4cUsV2kYmEBgtw0iP+NzVeOsfuv0if2R3hb5jRW+wPsbVFLsqYLYONd/4dCDt6RA==" saltValue="QLRHMHqd69ZTvwJbbLwp4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57" t="str">
        <f>'(G1) Fjalori'!A428</f>
        <v>(F5) GRAFIKU I SHPENZIMEVE SIPAS NËNFUNKSIONIT - VLERA NETO</v>
      </c>
      <c r="B1" s="858"/>
      <c r="C1" s="858"/>
      <c r="D1" s="858"/>
      <c r="E1" s="858"/>
      <c r="F1" s="858"/>
      <c r="G1" s="858"/>
      <c r="H1" s="858"/>
      <c r="I1" s="858"/>
      <c r="J1" s="85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142260</v>
      </c>
      <c r="E4" s="154">
        <f>' (F4)Shpenzimet sipas nenf.neto'!J6</f>
        <v>22260</v>
      </c>
      <c r="F4" s="155">
        <f>' (F4)Shpenzimet sipas nenf.neto'!N6</f>
        <v>22260</v>
      </c>
      <c r="G4" s="154">
        <f>' (F4)Shpenzimet sipas nenf.neto'!R6</f>
        <v>215173</v>
      </c>
      <c r="H4" s="154">
        <f>' (F4)Shpenzimet sipas nenf.neto'!V6</f>
        <v>216173</v>
      </c>
      <c r="I4" s="154">
        <f>' (F4)Shpenzimet sipas nenf.neto'!Z6</f>
        <v>216173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0</v>
      </c>
      <c r="E6" s="154">
        <f>' (F4)Shpenzimet sipas nenf.neto'!J14</f>
        <v>0</v>
      </c>
      <c r="F6" s="155">
        <f>' (F4)Shpenzimet sipas nenf.neto'!N14</f>
        <v>0</v>
      </c>
      <c r="G6" s="154">
        <f>' (F4)Shpenzimet sipas nenf.neto'!R14</f>
        <v>7670</v>
      </c>
      <c r="H6" s="154">
        <f>' (F4)Shpenzimet sipas nenf.neto'!V14</f>
        <v>7670</v>
      </c>
      <c r="I6" s="154">
        <f>' (F4)Shpenzimet sipas nenf.neto'!Z14</f>
        <v>7670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21298</v>
      </c>
      <c r="E7" s="154">
        <f>' (F4)Shpenzimet sipas nenf.neto'!J16</f>
        <v>998</v>
      </c>
      <c r="F7" s="155">
        <f>' (F4)Shpenzimet sipas nenf.neto'!N16</f>
        <v>998</v>
      </c>
      <c r="G7" s="154">
        <f>' (F4)Shpenzimet sipas nenf.neto'!R16</f>
        <v>31430</v>
      </c>
      <c r="H7" s="154">
        <f>' (F4)Shpenzimet sipas nenf.neto'!V16</f>
        <v>31430</v>
      </c>
      <c r="I7" s="154">
        <f>' (F4)Shpenzimet sipas nenf.neto'!Z16</f>
        <v>31430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1631</v>
      </c>
      <c r="H9" s="154">
        <f>' (F4)Shpenzimet sipas nenf.neto'!V20</f>
        <v>1631</v>
      </c>
      <c r="I9" s="154">
        <f>' (F4)Shpenzimet sipas nenf.neto'!Z20</f>
        <v>1631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17369</v>
      </c>
      <c r="E10" s="154">
        <f>' (F4)Shpenzimet sipas nenf.neto'!J25</f>
        <v>0</v>
      </c>
      <c r="F10" s="155">
        <f>' (F4)Shpenzimet sipas nenf.neto'!N25</f>
        <v>0</v>
      </c>
      <c r="G10" s="154">
        <f>' (F4)Shpenzimet sipas nenf.neto'!R25</f>
        <v>17402</v>
      </c>
      <c r="H10" s="154">
        <f>' (F4)Shpenzimet sipas nenf.neto'!V25</f>
        <v>20402</v>
      </c>
      <c r="I10" s="154">
        <f>' (F4)Shpenzimet sipas nenf.neto'!Z25</f>
        <v>17402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28625</v>
      </c>
      <c r="E11" s="154">
        <f>' (F4)Shpenzimet sipas nenf.neto'!J30</f>
        <v>0</v>
      </c>
      <c r="F11" s="155">
        <f>' (F4)Shpenzimet sipas nenf.neto'!N30</f>
        <v>0</v>
      </c>
      <c r="G11" s="154">
        <f>' (F4)Shpenzimet sipas nenf.neto'!R30</f>
        <v>88487</v>
      </c>
      <c r="H11" s="154">
        <f>' (F4)Shpenzimet sipas nenf.neto'!V30</f>
        <v>98487</v>
      </c>
      <c r="I11" s="154">
        <f>' (F4)Shpenzimet sipas nenf.neto'!Z30</f>
        <v>128486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0</v>
      </c>
      <c r="E13" s="154">
        <f>' (F4)Shpenzimet sipas nenf.neto'!J37</f>
        <v>0</v>
      </c>
      <c r="F13" s="155">
        <f>' (F4)Shpenzimet sipas nenf.neto'!N37</f>
        <v>0</v>
      </c>
      <c r="G13" s="154">
        <f>' (F4)Shpenzimet sipas nenf.neto'!R37</f>
        <v>23610</v>
      </c>
      <c r="H13" s="154">
        <f>' (F4)Shpenzimet sipas nenf.neto'!V37</f>
        <v>24610</v>
      </c>
      <c r="I13" s="154">
        <f>' (F4)Shpenzimet sipas nenf.neto'!Z37</f>
        <v>24110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0</v>
      </c>
      <c r="H14" s="154">
        <f>' (F4)Shpenzimet sipas nenf.neto'!V39</f>
        <v>0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115169</v>
      </c>
      <c r="E18" s="154">
        <f>' (F4)Shpenzimet sipas nenf.neto'!J49</f>
        <v>115169</v>
      </c>
      <c r="F18" s="155">
        <f>' (F4)Shpenzimet sipas nenf.neto'!N49</f>
        <v>115169</v>
      </c>
      <c r="G18" s="154">
        <f>' (F4)Shpenzimet sipas nenf.neto'!R49</f>
        <v>165101</v>
      </c>
      <c r="H18" s="154">
        <f>' (F4)Shpenzimet sipas nenf.neto'!V49</f>
        <v>165101</v>
      </c>
      <c r="I18" s="154">
        <f>' (F4)Shpenzimet sipas nenf.neto'!Z49</f>
        <v>171101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0</v>
      </c>
      <c r="E19" s="154">
        <f>' (F4)Shpenzimet sipas nenf.neto'!J52</f>
        <v>0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 xml:space="preserve">                               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11970</v>
      </c>
      <c r="H20" s="154">
        <f>' (F4)Shpenzimet sipas nenf.neto'!V54</f>
        <v>13970</v>
      </c>
      <c r="I20" s="154">
        <f>' (F4)Shpenzimet sipas nenf.neto'!Z54</f>
        <v>13170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24530</v>
      </c>
      <c r="H21" s="154">
        <f>' (F4)Shpenzimet sipas nenf.neto'!V56</f>
        <v>24530</v>
      </c>
      <c r="I21" s="154">
        <f>' (F4)Shpenzimet sipas nenf.neto'!Z56</f>
        <v>24530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5480</v>
      </c>
      <c r="E22" s="154">
        <f>' (F4)Shpenzimet sipas nenf.neto'!J58</f>
        <v>5480</v>
      </c>
      <c r="F22" s="155">
        <f>' (F4)Shpenzimet sipas nenf.neto'!N58</f>
        <v>5480</v>
      </c>
      <c r="G22" s="154">
        <f>' (F4)Shpenzimet sipas nenf.neto'!R58</f>
        <v>28076</v>
      </c>
      <c r="H22" s="154">
        <f>' (F4)Shpenzimet sipas nenf.neto'!V58</f>
        <v>28076</v>
      </c>
      <c r="I22" s="154">
        <f>' (F4)Shpenzimet sipas nenf.neto'!Z58</f>
        <v>28076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0</v>
      </c>
      <c r="E23" s="154">
        <f>' (F4)Shpenzimet sipas nenf.neto'!J61</f>
        <v>0</v>
      </c>
      <c r="F23" s="155">
        <f>' (F4)Shpenzimet sipas nenf.neto'!N61</f>
        <v>0</v>
      </c>
      <c r="G23" s="154">
        <f>' (F4)Shpenzimet sipas nenf.neto'!R61</f>
        <v>26110</v>
      </c>
      <c r="H23" s="154">
        <f>' (F4)Shpenzimet sipas nenf.neto'!V61</f>
        <v>26110</v>
      </c>
      <c r="I23" s="154">
        <f>' (F4)Shpenzimet sipas nenf.neto'!Z61</f>
        <v>26110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0</v>
      </c>
      <c r="E24" s="154">
        <f>' (F4)Shpenzimet sipas nenf.neto'!J65</f>
        <v>0</v>
      </c>
      <c r="F24" s="155">
        <f>' (F4)Shpenzimet sipas nenf.neto'!N65</f>
        <v>0</v>
      </c>
      <c r="G24" s="154">
        <f>' (F4)Shpenzimet sipas nenf.neto'!R65</f>
        <v>157605</v>
      </c>
      <c r="H24" s="154">
        <f>' (F4)Shpenzimet sipas nenf.neto'!V65</f>
        <v>157605</v>
      </c>
      <c r="I24" s="154">
        <f>' (F4)Shpenzimet sipas nenf.neto'!Z65</f>
        <v>157605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0</v>
      </c>
      <c r="E25" s="154">
        <f>' (F4)Shpenzimet sipas nenf.neto'!J67</f>
        <v>0</v>
      </c>
      <c r="F25" s="155">
        <f>' (F4)Shpenzimet sipas nenf.neto'!N67</f>
        <v>0</v>
      </c>
      <c r="G25" s="154">
        <f>' (F4)Shpenzimet sipas nenf.neto'!R67</f>
        <v>47632</v>
      </c>
      <c r="H25" s="154">
        <f>' (F4)Shpenzimet sipas nenf.neto'!V67</f>
        <v>47632</v>
      </c>
      <c r="I25" s="154">
        <f>' (F4)Shpenzimet sipas nenf.neto'!Z67</f>
        <v>47632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194227</v>
      </c>
      <c r="F26" s="155">
        <f>' (F4)Shpenzimet sipas nenf.neto'!N71</f>
        <v>238255</v>
      </c>
      <c r="G26" s="154">
        <f>' (F4)Shpenzimet sipas nenf.neto'!R71</f>
        <v>340244</v>
      </c>
      <c r="H26" s="154">
        <f>' (F4)Shpenzimet sipas nenf.neto'!V71</f>
        <v>343244</v>
      </c>
      <c r="I26" s="154">
        <f>' (F4)Shpenzimet sipas nenf.neto'!Z71</f>
        <v>340244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0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20100</v>
      </c>
      <c r="H28" s="154">
        <f>' (F4)Shpenzimet sipas nenf.neto'!V75</f>
        <v>20044</v>
      </c>
      <c r="I28" s="154">
        <f>' (F4)Shpenzimet sipas nenf.neto'!Z75</f>
        <v>20100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93947</v>
      </c>
      <c r="E30" s="154">
        <f>' (F4)Shpenzimet sipas nenf.neto'!J80</f>
        <v>93847</v>
      </c>
      <c r="F30" s="155">
        <f>' (F4)Shpenzimet sipas nenf.neto'!N80</f>
        <v>90319</v>
      </c>
      <c r="G30" s="154">
        <f>' (F4)Shpenzimet sipas nenf.neto'!R80</f>
        <v>530000</v>
      </c>
      <c r="H30" s="154">
        <f>' (F4)Shpenzimet sipas nenf.neto'!V80</f>
        <v>532000</v>
      </c>
      <c r="I30" s="154">
        <f>' (F4)Shpenzimet sipas nenf.neto'!Z80</f>
        <v>531408</v>
      </c>
    </row>
    <row r="31" spans="2:9" ht="15" customHeight="1" thickBot="1" x14ac:dyDescent="0.25">
      <c r="B31" s="1059" t="str">
        <f>'(G1) Fjalori'!A426:B426</f>
        <v>Total</v>
      </c>
      <c r="C31" s="1060"/>
      <c r="D31" s="157">
        <f t="shared" ref="D31:I31" si="0">SUM(D4:D30)</f>
        <v>424148</v>
      </c>
      <c r="E31" s="157">
        <f t="shared" si="0"/>
        <v>431981</v>
      </c>
      <c r="F31" s="157">
        <f t="shared" si="0"/>
        <v>472481</v>
      </c>
      <c r="G31" s="157">
        <f t="shared" si="0"/>
        <v>1736771</v>
      </c>
      <c r="H31" s="157">
        <f t="shared" si="0"/>
        <v>1758715</v>
      </c>
      <c r="I31" s="157">
        <f t="shared" si="0"/>
        <v>1786878</v>
      </c>
    </row>
  </sheetData>
  <sheetProtection algorithmName="SHA-512" hashValue="Sc95OqQKGfz6ZrJvBKtKDCalfCC/HOg45OJTllJzWkfnL7TsnhbpCuc/vgtZQrNAW9W4MSmq8XCw3EFNxwoDbg==" saltValue="vYLZ6NxaGh/7vwFsu3Azug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31" zoomScaleNormal="10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57" t="str">
        <f>'(G1) Fjalori'!A430</f>
        <v>(F6) SHPENZIMET SIPAS FUNKSIONIT - VLERA BRUTO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9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55">
        <f>'(B1)Informacion i përgjithshëm '!B5</f>
        <v>2019</v>
      </c>
      <c r="D3" s="1055">
        <f>'(B1)Informacion i përgjithshëm '!B6</f>
        <v>2020</v>
      </c>
      <c r="E3" s="1055">
        <f>'(B1)Informacion i përgjithshëm '!B7</f>
        <v>2021</v>
      </c>
      <c r="F3" s="1044">
        <f>'(B1)Informacion i përgjithshëm '!B8</f>
        <v>2022</v>
      </c>
      <c r="G3" s="1044"/>
      <c r="H3" s="1044"/>
      <c r="I3" s="1044"/>
      <c r="J3" s="1044">
        <f>'(B1)Informacion i përgjithshëm '!B9</f>
        <v>2023</v>
      </c>
      <c r="K3" s="1044"/>
      <c r="L3" s="1044"/>
      <c r="M3" s="1044"/>
      <c r="N3" s="1044">
        <f>'(B1)Informacion i përgjithshëm '!B10</f>
        <v>2024</v>
      </c>
      <c r="O3" s="1044"/>
      <c r="P3" s="1044"/>
      <c r="Q3" s="1044"/>
    </row>
    <row r="4" spans="1:17" s="107" customFormat="1" x14ac:dyDescent="0.25">
      <c r="A4" s="106"/>
      <c r="B4" s="106"/>
      <c r="C4" s="1055"/>
      <c r="D4" s="1055"/>
      <c r="E4" s="1055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</row>
    <row r="5" spans="1:17" s="107" customFormat="1" ht="93.7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179503</v>
      </c>
      <c r="D6" s="147">
        <f>'(F2) Shpenzimet sipas nenfunk.b'!D6</f>
        <v>179503</v>
      </c>
      <c r="E6" s="147">
        <f>'(F2) Shpenzimet sipas nenfunk.b'!E6</f>
        <v>179503</v>
      </c>
      <c r="F6" s="80">
        <f>'(F2) Shpenzimet sipas nenfunk.b'!F6</f>
        <v>147533</v>
      </c>
      <c r="G6" s="80">
        <f>'(F2) Shpenzimet sipas nenfunk.b'!G6</f>
        <v>63640</v>
      </c>
      <c r="H6" s="80">
        <f>'(F2) Shpenzimet sipas nenfunk.b'!H6</f>
        <v>4000</v>
      </c>
      <c r="I6" s="143">
        <f>'(F2) Shpenzimet sipas nenfunk.b'!I6</f>
        <v>215173</v>
      </c>
      <c r="J6" s="80">
        <f>'(F2) Shpenzimet sipas nenfunk.b'!J6</f>
        <v>148533</v>
      </c>
      <c r="K6" s="80">
        <f>'(F2) Shpenzimet sipas nenfunk.b'!K6</f>
        <v>63640</v>
      </c>
      <c r="L6" s="80">
        <f>'(F2) Shpenzimet sipas nenfunk.b'!L6</f>
        <v>4000</v>
      </c>
      <c r="M6" s="143">
        <f>'(F2) Shpenzimet sipas nenfunk.b'!M6</f>
        <v>216173</v>
      </c>
      <c r="N6" s="80">
        <f>'(F2) Shpenzimet sipas nenfunk.b'!N6</f>
        <v>148533</v>
      </c>
      <c r="O6" s="80">
        <f>'(F2) Shpenzimet sipas nenfunk.b'!O6</f>
        <v>63640</v>
      </c>
      <c r="P6" s="80">
        <f>'(F2) Shpenzimet sipas nenfunk.b'!P6</f>
        <v>4000</v>
      </c>
      <c r="Q6" s="143">
        <f>'(F2) Shpenzimet sipas nenfunk.b'!Q6</f>
        <v>216173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63" t="str">
        <f>'(G1) Fjalori'!A433</f>
        <v>01 Shërbimet e Përgjithshme Publike</v>
      </c>
      <c r="B8" s="1064"/>
      <c r="C8" s="469">
        <f>SUM(C6:C7)</f>
        <v>179503</v>
      </c>
      <c r="D8" s="469">
        <f t="shared" ref="D8:Q8" si="2">SUM(D6:D7)</f>
        <v>179503</v>
      </c>
      <c r="E8" s="469">
        <f t="shared" si="2"/>
        <v>179503</v>
      </c>
      <c r="F8" s="469">
        <f t="shared" si="2"/>
        <v>147533</v>
      </c>
      <c r="G8" s="469">
        <f t="shared" si="2"/>
        <v>63640</v>
      </c>
      <c r="H8" s="469">
        <f t="shared" si="2"/>
        <v>4000</v>
      </c>
      <c r="I8" s="469">
        <f>SUM(I6:I7)</f>
        <v>215173</v>
      </c>
      <c r="J8" s="469">
        <f t="shared" si="2"/>
        <v>148533</v>
      </c>
      <c r="K8" s="469">
        <f t="shared" si="2"/>
        <v>63640</v>
      </c>
      <c r="L8" s="469">
        <f t="shared" si="2"/>
        <v>4000</v>
      </c>
      <c r="M8" s="469">
        <f t="shared" si="2"/>
        <v>216173</v>
      </c>
      <c r="N8" s="469">
        <f t="shared" si="2"/>
        <v>148533</v>
      </c>
      <c r="O8" s="469">
        <f t="shared" si="2"/>
        <v>63640</v>
      </c>
      <c r="P8" s="469">
        <f t="shared" si="2"/>
        <v>4000</v>
      </c>
      <c r="Q8" s="469">
        <f t="shared" si="2"/>
        <v>216173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0</v>
      </c>
      <c r="D9" s="147">
        <f>'(F2) Shpenzimet sipas nenfunk.b'!D14</f>
        <v>0</v>
      </c>
      <c r="E9" s="147">
        <f>'(F2) Shpenzimet sipas nenfunk.b'!E14</f>
        <v>0</v>
      </c>
      <c r="F9" s="80">
        <f>'(F2) Shpenzimet sipas nenfunk.b'!F14</f>
        <v>7620</v>
      </c>
      <c r="G9" s="80">
        <f>'(F2) Shpenzimet sipas nenfunk.b'!G14</f>
        <v>50</v>
      </c>
      <c r="H9" s="80">
        <f>'(F2) Shpenzimet sipas nenfunk.b'!H14</f>
        <v>0</v>
      </c>
      <c r="I9" s="143">
        <f>'(F2) Shpenzimet sipas nenfunk.b'!I14</f>
        <v>7670</v>
      </c>
      <c r="J9" s="80">
        <f>'(F2) Shpenzimet sipas nenfunk.b'!J14</f>
        <v>0</v>
      </c>
      <c r="K9" s="80">
        <f>'(F2) Shpenzimet sipas nenfunk.b'!K14</f>
        <v>7670</v>
      </c>
      <c r="L9" s="80">
        <f>'(F2) Shpenzimet sipas nenfunk.b'!L14</f>
        <v>0</v>
      </c>
      <c r="M9" s="143">
        <f>'(F2) Shpenzimet sipas nenfunk.b'!M14</f>
        <v>7670</v>
      </c>
      <c r="N9" s="80">
        <f>'(F2) Shpenzimet sipas nenfunk.b'!N14</f>
        <v>7620</v>
      </c>
      <c r="O9" s="80">
        <f>'(F2) Shpenzimet sipas nenfunk.b'!O14</f>
        <v>50</v>
      </c>
      <c r="P9" s="80">
        <f>'(F2) Shpenzimet sipas nenfunk.b'!P14</f>
        <v>0</v>
      </c>
      <c r="Q9" s="143">
        <f>'(F2) Shpenzimet sipas nenfunk.b'!Q14</f>
        <v>7670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21298</v>
      </c>
      <c r="D10" s="147">
        <f>'(F2) Shpenzimet sipas nenfunk.b'!D16</f>
        <v>21298</v>
      </c>
      <c r="E10" s="147">
        <f>'(F2) Shpenzimet sipas nenfunk.b'!E16</f>
        <v>21298</v>
      </c>
      <c r="F10" s="80">
        <f>'(F2) Shpenzimet sipas nenfunk.b'!F16</f>
        <v>20834</v>
      </c>
      <c r="G10" s="80">
        <f>'(F2) Shpenzimet sipas nenfunk.b'!G16</f>
        <v>10596</v>
      </c>
      <c r="H10" s="80">
        <f>'(F2) Shpenzimet sipas nenfunk.b'!H16</f>
        <v>0</v>
      </c>
      <c r="I10" s="143">
        <f>'(F2) Shpenzimet sipas nenfunk.b'!I16</f>
        <v>31430</v>
      </c>
      <c r="J10" s="80">
        <f>'(F2) Shpenzimet sipas nenfunk.b'!J16</f>
        <v>20834</v>
      </c>
      <c r="K10" s="80">
        <f>'(F2) Shpenzimet sipas nenfunk.b'!K16</f>
        <v>10596</v>
      </c>
      <c r="L10" s="80">
        <f>'(F2) Shpenzimet sipas nenfunk.b'!L16</f>
        <v>0</v>
      </c>
      <c r="M10" s="143">
        <f>'(F2) Shpenzimet sipas nenfunk.b'!M16</f>
        <v>31430</v>
      </c>
      <c r="N10" s="80">
        <f>'(F2) Shpenzimet sipas nenfunk.b'!N16</f>
        <v>20834</v>
      </c>
      <c r="O10" s="80">
        <f>'(F2) Shpenzimet sipas nenfunk.b'!O16</f>
        <v>10596</v>
      </c>
      <c r="P10" s="80">
        <f>'(F2) Shpenzimet sipas nenfunk.b'!P16</f>
        <v>0</v>
      </c>
      <c r="Q10" s="143">
        <f>'(F2) Shpenzimet sipas nenfunk.b'!Q16</f>
        <v>31430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21298</v>
      </c>
      <c r="D12" s="469">
        <f t="shared" ref="D12:Q12" si="3">SUM(D9:D11)</f>
        <v>21298</v>
      </c>
      <c r="E12" s="469">
        <f t="shared" si="3"/>
        <v>21298</v>
      </c>
      <c r="F12" s="469">
        <f t="shared" si="3"/>
        <v>28454</v>
      </c>
      <c r="G12" s="469">
        <f t="shared" si="3"/>
        <v>10646</v>
      </c>
      <c r="H12" s="469">
        <f t="shared" si="3"/>
        <v>0</v>
      </c>
      <c r="I12" s="469">
        <f t="shared" si="3"/>
        <v>39100</v>
      </c>
      <c r="J12" s="469">
        <f t="shared" si="3"/>
        <v>20834</v>
      </c>
      <c r="K12" s="469">
        <f t="shared" si="3"/>
        <v>18266</v>
      </c>
      <c r="L12" s="469">
        <f t="shared" si="3"/>
        <v>0</v>
      </c>
      <c r="M12" s="469">
        <f t="shared" si="3"/>
        <v>39100</v>
      </c>
      <c r="N12" s="469">
        <f t="shared" si="3"/>
        <v>28454</v>
      </c>
      <c r="O12" s="469">
        <f t="shared" si="3"/>
        <v>10646</v>
      </c>
      <c r="P12" s="469">
        <f t="shared" si="3"/>
        <v>0</v>
      </c>
      <c r="Q12" s="469">
        <f t="shared" si="3"/>
        <v>39100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1551</v>
      </c>
      <c r="G13" s="80">
        <f>'(F2) Shpenzimet sipas nenfunk.b'!G20</f>
        <v>80</v>
      </c>
      <c r="H13" s="80">
        <f>'(F2) Shpenzimet sipas nenfunk.b'!H20</f>
        <v>0</v>
      </c>
      <c r="I13" s="143">
        <f>'(F2) Shpenzimet sipas nenfunk.b'!I20</f>
        <v>1631</v>
      </c>
      <c r="J13" s="80">
        <f>'(F2) Shpenzimet sipas nenfunk.b'!J20</f>
        <v>1551</v>
      </c>
      <c r="K13" s="80">
        <f>'(F2) Shpenzimet sipas nenfunk.b'!K20</f>
        <v>80</v>
      </c>
      <c r="L13" s="80">
        <f>'(F2) Shpenzimet sipas nenfunk.b'!L20</f>
        <v>0</v>
      </c>
      <c r="M13" s="143">
        <f>'(F2) Shpenzimet sipas nenfunk.b'!M20</f>
        <v>1631</v>
      </c>
      <c r="N13" s="80">
        <f>'(F2) Shpenzimet sipas nenfunk.b'!N20</f>
        <v>1551</v>
      </c>
      <c r="O13" s="80">
        <f>'(F2) Shpenzimet sipas nenfunk.b'!O20</f>
        <v>80</v>
      </c>
      <c r="P13" s="80">
        <f>'(F2) Shpenzimet sipas nenfunk.b'!P20</f>
        <v>0</v>
      </c>
      <c r="Q13" s="143">
        <f>'(F2) Shpenzimet sipas nenfunk.b'!Q20</f>
        <v>1631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22382</v>
      </c>
      <c r="D14" s="147">
        <f>'(F2) Shpenzimet sipas nenfunk.b'!D25</f>
        <v>22382</v>
      </c>
      <c r="E14" s="147">
        <f>'(F2) Shpenzimet sipas nenfunk.b'!E25</f>
        <v>22382</v>
      </c>
      <c r="F14" s="80">
        <f>'(F2) Shpenzimet sipas nenfunk.b'!F25</f>
        <v>3100</v>
      </c>
      <c r="G14" s="80">
        <f>'(F2) Shpenzimet sipas nenfunk.b'!G25</f>
        <v>170</v>
      </c>
      <c r="H14" s="80">
        <f>'(F2) Shpenzimet sipas nenfunk.b'!H25</f>
        <v>14132</v>
      </c>
      <c r="I14" s="143">
        <f>'(F2) Shpenzimet sipas nenfunk.b'!I25</f>
        <v>17402</v>
      </c>
      <c r="J14" s="80">
        <f>'(F2) Shpenzimet sipas nenfunk.b'!J25</f>
        <v>3600</v>
      </c>
      <c r="K14" s="80">
        <f>'(F2) Shpenzimet sipas nenfunk.b'!K25</f>
        <v>170</v>
      </c>
      <c r="L14" s="80">
        <f>'(F2) Shpenzimet sipas nenfunk.b'!L25</f>
        <v>16632</v>
      </c>
      <c r="M14" s="143">
        <f>'(F2) Shpenzimet sipas nenfunk.b'!M25</f>
        <v>20402</v>
      </c>
      <c r="N14" s="80">
        <f>'(F2) Shpenzimet sipas nenfunk.b'!N25</f>
        <v>3100</v>
      </c>
      <c r="O14" s="80">
        <f>'(F2) Shpenzimet sipas nenfunk.b'!O25</f>
        <v>170</v>
      </c>
      <c r="P14" s="80">
        <f>'(F2) Shpenzimet sipas nenfunk.b'!P25</f>
        <v>14132</v>
      </c>
      <c r="Q14" s="143">
        <f>'(F2) Shpenzimet sipas nenfunk.b'!Q25</f>
        <v>17402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31582</v>
      </c>
      <c r="D15" s="147">
        <f>'(F2) Shpenzimet sipas nenfunk.b'!D30</f>
        <v>31582</v>
      </c>
      <c r="E15" s="147">
        <f>'(F2) Shpenzimet sipas nenfunk.b'!E30</f>
        <v>31582</v>
      </c>
      <c r="F15" s="80">
        <f>'(F2) Shpenzimet sipas nenfunk.b'!F30</f>
        <v>0</v>
      </c>
      <c r="G15" s="80">
        <f>'(F2) Shpenzimet sipas nenfunk.b'!G30</f>
        <v>0</v>
      </c>
      <c r="H15" s="80">
        <f>'(F2) Shpenzimet sipas nenfunk.b'!H30</f>
        <v>88487</v>
      </c>
      <c r="I15" s="143">
        <f>'(F2) Shpenzimet sipas nenfunk.b'!I30</f>
        <v>88487</v>
      </c>
      <c r="J15" s="80">
        <f>'(F2) Shpenzimet sipas nenfunk.b'!J30</f>
        <v>0</v>
      </c>
      <c r="K15" s="80">
        <f>'(F2) Shpenzimet sipas nenfunk.b'!K30</f>
        <v>0</v>
      </c>
      <c r="L15" s="80">
        <f>'(F2) Shpenzimet sipas nenfunk.b'!L30</f>
        <v>98487</v>
      </c>
      <c r="M15" s="143">
        <f>'(F2) Shpenzimet sipas nenfunk.b'!M30</f>
        <v>98487</v>
      </c>
      <c r="N15" s="80">
        <f>'(F2) Shpenzimet sipas nenfunk.b'!N30</f>
        <v>0</v>
      </c>
      <c r="O15" s="80">
        <f>'(F2) Shpenzimet sipas nenfunk.b'!O30</f>
        <v>0</v>
      </c>
      <c r="P15" s="80">
        <f>'(F2) Shpenzimet sipas nenfunk.b'!P30</f>
        <v>128486</v>
      </c>
      <c r="Q15" s="143">
        <f>'(F2) Shpenzimet sipas nenfunk.b'!Q30</f>
        <v>128486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53964</v>
      </c>
      <c r="D17" s="469">
        <f t="shared" ref="D17:Q17" si="4">SUM(D13:D16)</f>
        <v>53964</v>
      </c>
      <c r="E17" s="469">
        <f t="shared" si="4"/>
        <v>53964</v>
      </c>
      <c r="F17" s="469">
        <f t="shared" si="4"/>
        <v>4651</v>
      </c>
      <c r="G17" s="469">
        <f t="shared" si="4"/>
        <v>250</v>
      </c>
      <c r="H17" s="469">
        <f t="shared" si="4"/>
        <v>102619</v>
      </c>
      <c r="I17" s="469">
        <f t="shared" si="4"/>
        <v>107520</v>
      </c>
      <c r="J17" s="469">
        <f t="shared" si="4"/>
        <v>5151</v>
      </c>
      <c r="K17" s="469">
        <f t="shared" si="4"/>
        <v>250</v>
      </c>
      <c r="L17" s="469">
        <f t="shared" si="4"/>
        <v>115119</v>
      </c>
      <c r="M17" s="469">
        <f t="shared" si="4"/>
        <v>120520</v>
      </c>
      <c r="N17" s="469">
        <f t="shared" si="4"/>
        <v>4651</v>
      </c>
      <c r="O17" s="469">
        <f t="shared" si="4"/>
        <v>250</v>
      </c>
      <c r="P17" s="469">
        <f t="shared" si="4"/>
        <v>142618</v>
      </c>
      <c r="Q17" s="469">
        <f t="shared" si="4"/>
        <v>147519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0</v>
      </c>
      <c r="D18" s="147">
        <f>'(F2) Shpenzimet sipas nenfunk.b'!D37</f>
        <v>0</v>
      </c>
      <c r="E18" s="147">
        <f>'(F2) Shpenzimet sipas nenfunk.b'!E37</f>
        <v>0</v>
      </c>
      <c r="F18" s="80">
        <f>'(F2) Shpenzimet sipas nenfunk.b'!F37</f>
        <v>22600</v>
      </c>
      <c r="G18" s="80">
        <f>'(F2) Shpenzimet sipas nenfunk.b'!G37</f>
        <v>1010</v>
      </c>
      <c r="H18" s="80">
        <f>'(F2) Shpenzimet sipas nenfunk.b'!H37</f>
        <v>0</v>
      </c>
      <c r="I18" s="143">
        <f>'(F2) Shpenzimet sipas nenfunk.b'!I37</f>
        <v>23610</v>
      </c>
      <c r="J18" s="80">
        <f>'(F2) Shpenzimet sipas nenfunk.b'!J37</f>
        <v>23600</v>
      </c>
      <c r="K18" s="80">
        <f>'(F2) Shpenzimet sipas nenfunk.b'!K37</f>
        <v>1010</v>
      </c>
      <c r="L18" s="80">
        <f>'(F2) Shpenzimet sipas nenfunk.b'!L37</f>
        <v>0</v>
      </c>
      <c r="M18" s="143">
        <f>'(F2) Shpenzimet sipas nenfunk.b'!M37</f>
        <v>24610</v>
      </c>
      <c r="N18" s="80">
        <f>'(F2) Shpenzimet sipas nenfunk.b'!N37</f>
        <v>23100</v>
      </c>
      <c r="O18" s="80">
        <f>'(F2) Shpenzimet sipas nenfunk.b'!O37</f>
        <v>1010</v>
      </c>
      <c r="P18" s="80">
        <f>'(F2) Shpenzimet sipas nenfunk.b'!P37</f>
        <v>0</v>
      </c>
      <c r="Q18" s="143">
        <f>'(F2) Shpenzimet sipas nenfunk.b'!Q37</f>
        <v>24110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0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0</v>
      </c>
      <c r="M19" s="143">
        <f>'(F2) Shpenzimet sipas nenfunk.b'!M39</f>
        <v>0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0</v>
      </c>
      <c r="D22" s="469">
        <f t="shared" ref="D22:Q22" si="5">SUM(D18:D21)</f>
        <v>0</v>
      </c>
      <c r="E22" s="469">
        <f t="shared" si="5"/>
        <v>0</v>
      </c>
      <c r="F22" s="469">
        <f t="shared" si="5"/>
        <v>22600</v>
      </c>
      <c r="G22" s="469">
        <f t="shared" si="5"/>
        <v>1010</v>
      </c>
      <c r="H22" s="469">
        <f t="shared" si="5"/>
        <v>0</v>
      </c>
      <c r="I22" s="469">
        <f t="shared" si="5"/>
        <v>23610</v>
      </c>
      <c r="J22" s="469">
        <f t="shared" si="5"/>
        <v>23600</v>
      </c>
      <c r="K22" s="469">
        <f t="shared" si="5"/>
        <v>1010</v>
      </c>
      <c r="L22" s="469">
        <f t="shared" si="5"/>
        <v>0</v>
      </c>
      <c r="M22" s="469">
        <f t="shared" si="5"/>
        <v>24610</v>
      </c>
      <c r="N22" s="469">
        <f t="shared" si="5"/>
        <v>23100</v>
      </c>
      <c r="O22" s="469">
        <f t="shared" si="5"/>
        <v>1010</v>
      </c>
      <c r="P22" s="469">
        <f t="shared" si="5"/>
        <v>0</v>
      </c>
      <c r="Q22" s="469">
        <f t="shared" si="5"/>
        <v>24110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151291</v>
      </c>
      <c r="D24" s="147">
        <f>'(F2) Shpenzimet sipas nenfunk.b'!D49</f>
        <v>151291</v>
      </c>
      <c r="E24" s="147">
        <f>'(F2) Shpenzimet sipas nenfunk.b'!E49</f>
        <v>151291</v>
      </c>
      <c r="F24" s="80">
        <f>'(F2) Shpenzimet sipas nenfunk.b'!F49</f>
        <v>77280</v>
      </c>
      <c r="G24" s="80">
        <f>'(F2) Shpenzimet sipas nenfunk.b'!G49</f>
        <v>66003</v>
      </c>
      <c r="H24" s="80">
        <f>'(F2) Shpenzimet sipas nenfunk.b'!H49</f>
        <v>21818</v>
      </c>
      <c r="I24" s="143">
        <f>'(F2) Shpenzimet sipas nenfunk.b'!I49</f>
        <v>165101</v>
      </c>
      <c r="J24" s="80">
        <f>'(F2) Shpenzimet sipas nenfunk.b'!J49</f>
        <v>77280</v>
      </c>
      <c r="K24" s="80">
        <f>'(F2) Shpenzimet sipas nenfunk.b'!K49</f>
        <v>66003</v>
      </c>
      <c r="L24" s="80">
        <f>'(F2) Shpenzimet sipas nenfunk.b'!L49</f>
        <v>21818</v>
      </c>
      <c r="M24" s="143">
        <f>'(F2) Shpenzimet sipas nenfunk.b'!M49</f>
        <v>165101</v>
      </c>
      <c r="N24" s="80">
        <f>'(F2) Shpenzimet sipas nenfunk.b'!N49</f>
        <v>79280</v>
      </c>
      <c r="O24" s="80">
        <f>'(F2) Shpenzimet sipas nenfunk.b'!O49</f>
        <v>66003</v>
      </c>
      <c r="P24" s="80">
        <f>'(F2) Shpenzimet sipas nenfunk.b'!P49</f>
        <v>25818</v>
      </c>
      <c r="Q24" s="143">
        <f>'(F2) Shpenzimet sipas nenfunk.b'!Q49</f>
        <v>171101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0</v>
      </c>
      <c r="D25" s="147">
        <f>'(F2) Shpenzimet sipas nenfunk.b'!D52</f>
        <v>0</v>
      </c>
      <c r="E25" s="147">
        <f>'(F2) Shpenzimet sipas nenfunk.b'!E52</f>
        <v>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0</v>
      </c>
      <c r="I25" s="143">
        <f>'(F2) Shpenzimet sipas nenfunk.b'!I52</f>
        <v>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0</v>
      </c>
      <c r="M25" s="143">
        <f>'(F2) Shpenzimet sipas nenfunk.b'!M52</f>
        <v>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 xml:space="preserve">                               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4820</v>
      </c>
      <c r="G26" s="80">
        <f>'(F2) Shpenzimet sipas nenfunk.b'!G54</f>
        <v>7150</v>
      </c>
      <c r="H26" s="80">
        <f>'(F2) Shpenzimet sipas nenfunk.b'!H54</f>
        <v>0</v>
      </c>
      <c r="I26" s="143">
        <f>'(F2) Shpenzimet sipas nenfunk.b'!I54</f>
        <v>11970</v>
      </c>
      <c r="J26" s="80">
        <f>'(F2) Shpenzimet sipas nenfunk.b'!J54</f>
        <v>4820</v>
      </c>
      <c r="K26" s="80">
        <f>'(F2) Shpenzimet sipas nenfunk.b'!K54</f>
        <v>9150</v>
      </c>
      <c r="L26" s="80">
        <f>'(F2) Shpenzimet sipas nenfunk.b'!L54</f>
        <v>0</v>
      </c>
      <c r="M26" s="143">
        <f>'(F2) Shpenzimet sipas nenfunk.b'!M54</f>
        <v>13970</v>
      </c>
      <c r="N26" s="80">
        <f>'(F2) Shpenzimet sipas nenfunk.b'!N54</f>
        <v>4820</v>
      </c>
      <c r="O26" s="80">
        <f>'(F2) Shpenzimet sipas nenfunk.b'!O54</f>
        <v>7150</v>
      </c>
      <c r="P26" s="80">
        <f>'(F2) Shpenzimet sipas nenfunk.b'!P54</f>
        <v>1200</v>
      </c>
      <c r="Q26" s="143">
        <f>'(F2) Shpenzimet sipas nenfunk.b'!Q54</f>
        <v>13170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151291</v>
      </c>
      <c r="D27" s="469">
        <f t="shared" ref="D27:Q27" si="6">SUM(D23:D26)</f>
        <v>151291</v>
      </c>
      <c r="E27" s="469">
        <f t="shared" si="6"/>
        <v>151291</v>
      </c>
      <c r="F27" s="469">
        <f t="shared" si="6"/>
        <v>82100</v>
      </c>
      <c r="G27" s="469">
        <f t="shared" si="6"/>
        <v>73153</v>
      </c>
      <c r="H27" s="469">
        <f t="shared" si="6"/>
        <v>21818</v>
      </c>
      <c r="I27" s="469">
        <f t="shared" si="6"/>
        <v>177071</v>
      </c>
      <c r="J27" s="469">
        <f t="shared" si="6"/>
        <v>82100</v>
      </c>
      <c r="K27" s="469">
        <f t="shared" si="6"/>
        <v>75153</v>
      </c>
      <c r="L27" s="469">
        <f t="shared" si="6"/>
        <v>21818</v>
      </c>
      <c r="M27" s="469">
        <f t="shared" si="6"/>
        <v>179071</v>
      </c>
      <c r="N27" s="469">
        <f t="shared" si="6"/>
        <v>84100</v>
      </c>
      <c r="O27" s="469">
        <f t="shared" si="6"/>
        <v>73153</v>
      </c>
      <c r="P27" s="469">
        <f t="shared" si="6"/>
        <v>27018</v>
      </c>
      <c r="Q27" s="469">
        <f t="shared" si="6"/>
        <v>184271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13980</v>
      </c>
      <c r="G28" s="80">
        <f>'(F2) Shpenzimet sipas nenfunk.b'!G56</f>
        <v>10550</v>
      </c>
      <c r="H28" s="80">
        <f>'(F2) Shpenzimet sipas nenfunk.b'!H56</f>
        <v>0</v>
      </c>
      <c r="I28" s="143">
        <f>'(F2) Shpenzimet sipas nenfunk.b'!I56</f>
        <v>24530</v>
      </c>
      <c r="J28" s="80">
        <f>'(F2) Shpenzimet sipas nenfunk.b'!J56</f>
        <v>13980</v>
      </c>
      <c r="K28" s="80">
        <f>'(F2) Shpenzimet sipas nenfunk.b'!K56</f>
        <v>10550</v>
      </c>
      <c r="L28" s="80">
        <f>'(F2) Shpenzimet sipas nenfunk.b'!L56</f>
        <v>0</v>
      </c>
      <c r="M28" s="143">
        <f>'(F2) Shpenzimet sipas nenfunk.b'!M56</f>
        <v>24530</v>
      </c>
      <c r="N28" s="80">
        <f>'(F2) Shpenzimet sipas nenfunk.b'!N56</f>
        <v>13980</v>
      </c>
      <c r="O28" s="80">
        <f>'(F2) Shpenzimet sipas nenfunk.b'!O56</f>
        <v>10550</v>
      </c>
      <c r="P28" s="80">
        <f>'(F2) Shpenzimet sipas nenfunk.b'!P56</f>
        <v>0</v>
      </c>
      <c r="Q28" s="143">
        <f>'(F2) Shpenzimet sipas nenfunk.b'!Q56</f>
        <v>24530</v>
      </c>
    </row>
    <row r="29" spans="1:17" ht="15" customHeight="1" x14ac:dyDescent="0.2">
      <c r="A29" s="755" t="str">
        <f>'(G1) Fjalori'!A438</f>
        <v>07 Shëndetësia</v>
      </c>
      <c r="B29" s="756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13980</v>
      </c>
      <c r="G29" s="469">
        <f t="shared" si="7"/>
        <v>10550</v>
      </c>
      <c r="H29" s="469">
        <f t="shared" si="7"/>
        <v>0</v>
      </c>
      <c r="I29" s="469">
        <f t="shared" si="7"/>
        <v>24530</v>
      </c>
      <c r="J29" s="469">
        <f t="shared" si="7"/>
        <v>13980</v>
      </c>
      <c r="K29" s="469">
        <f t="shared" si="7"/>
        <v>10550</v>
      </c>
      <c r="L29" s="469">
        <f t="shared" si="7"/>
        <v>0</v>
      </c>
      <c r="M29" s="469">
        <f t="shared" si="7"/>
        <v>24530</v>
      </c>
      <c r="N29" s="469">
        <f t="shared" si="7"/>
        <v>13980</v>
      </c>
      <c r="O29" s="469">
        <f t="shared" si="7"/>
        <v>10550</v>
      </c>
      <c r="P29" s="469">
        <f t="shared" si="7"/>
        <v>0</v>
      </c>
      <c r="Q29" s="469">
        <f t="shared" si="7"/>
        <v>24530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14002</v>
      </c>
      <c r="D30" s="147">
        <f>'(F2) Shpenzimet sipas nenfunk.b'!D58</f>
        <v>14002</v>
      </c>
      <c r="E30" s="147">
        <f>'(F2) Shpenzimet sipas nenfunk.b'!E58</f>
        <v>14002</v>
      </c>
      <c r="F30" s="80">
        <f>'(F2) Shpenzimet sipas nenfunk.b'!F58</f>
        <v>9776</v>
      </c>
      <c r="G30" s="80">
        <f>'(F2) Shpenzimet sipas nenfunk.b'!G58</f>
        <v>18300</v>
      </c>
      <c r="H30" s="80">
        <f>'(F2) Shpenzimet sipas nenfunk.b'!H58</f>
        <v>0</v>
      </c>
      <c r="I30" s="143">
        <f>'(F2) Shpenzimet sipas nenfunk.b'!I58</f>
        <v>28076</v>
      </c>
      <c r="J30" s="80">
        <f>'(F2) Shpenzimet sipas nenfunk.b'!J58</f>
        <v>9776</v>
      </c>
      <c r="K30" s="80">
        <f>'(F2) Shpenzimet sipas nenfunk.b'!K58</f>
        <v>18300</v>
      </c>
      <c r="L30" s="80">
        <f>'(F2) Shpenzimet sipas nenfunk.b'!L58</f>
        <v>0</v>
      </c>
      <c r="M30" s="143">
        <f>'(F2) Shpenzimet sipas nenfunk.b'!M58</f>
        <v>28076</v>
      </c>
      <c r="N30" s="80">
        <f>'(F2) Shpenzimet sipas nenfunk.b'!N58</f>
        <v>9776</v>
      </c>
      <c r="O30" s="80">
        <f>'(F2) Shpenzimet sipas nenfunk.b'!O58</f>
        <v>18300</v>
      </c>
      <c r="P30" s="80">
        <f>'(F2) Shpenzimet sipas nenfunk.b'!P58</f>
        <v>0</v>
      </c>
      <c r="Q30" s="143">
        <f>'(F2) Shpenzimet sipas nenfunk.b'!Q58</f>
        <v>28076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15896</v>
      </c>
      <c r="D31" s="147">
        <f>'(F2) Shpenzimet sipas nenfunk.b'!D61</f>
        <v>15896</v>
      </c>
      <c r="E31" s="147">
        <f>'(F2) Shpenzimet sipas nenfunk.b'!E61</f>
        <v>15896</v>
      </c>
      <c r="F31" s="80">
        <f>'(F2) Shpenzimet sipas nenfunk.b'!F61</f>
        <v>16920</v>
      </c>
      <c r="G31" s="80">
        <f>'(F2) Shpenzimet sipas nenfunk.b'!G61</f>
        <v>6550</v>
      </c>
      <c r="H31" s="80">
        <f>'(F2) Shpenzimet sipas nenfunk.b'!H61</f>
        <v>2640</v>
      </c>
      <c r="I31" s="143">
        <f>'(F2) Shpenzimet sipas nenfunk.b'!I61</f>
        <v>26110</v>
      </c>
      <c r="J31" s="80">
        <f>'(F2) Shpenzimet sipas nenfunk.b'!J61</f>
        <v>16920</v>
      </c>
      <c r="K31" s="80">
        <f>'(F2) Shpenzimet sipas nenfunk.b'!K61</f>
        <v>6550</v>
      </c>
      <c r="L31" s="80">
        <f>'(F2) Shpenzimet sipas nenfunk.b'!L61</f>
        <v>2640</v>
      </c>
      <c r="M31" s="143">
        <f>'(F2) Shpenzimet sipas nenfunk.b'!M61</f>
        <v>26110</v>
      </c>
      <c r="N31" s="80">
        <f>'(F2) Shpenzimet sipas nenfunk.b'!N61</f>
        <v>16920</v>
      </c>
      <c r="O31" s="80">
        <f>'(F2) Shpenzimet sipas nenfunk.b'!O61</f>
        <v>6550</v>
      </c>
      <c r="P31" s="80">
        <f>'(F2) Shpenzimet sipas nenfunk.b'!P61</f>
        <v>2640</v>
      </c>
      <c r="Q31" s="143">
        <f>'(F2) Shpenzimet sipas nenfunk.b'!Q61</f>
        <v>26110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29898</v>
      </c>
      <c r="D32" s="469">
        <f t="shared" ref="D32:Q32" si="8">SUM(D30:D31)</f>
        <v>29898</v>
      </c>
      <c r="E32" s="469">
        <f t="shared" si="8"/>
        <v>29898</v>
      </c>
      <c r="F32" s="469">
        <f t="shared" si="8"/>
        <v>26696</v>
      </c>
      <c r="G32" s="469">
        <f t="shared" si="8"/>
        <v>24850</v>
      </c>
      <c r="H32" s="469">
        <f t="shared" si="8"/>
        <v>2640</v>
      </c>
      <c r="I32" s="469">
        <f t="shared" si="8"/>
        <v>54186</v>
      </c>
      <c r="J32" s="469">
        <f t="shared" si="8"/>
        <v>26696</v>
      </c>
      <c r="K32" s="469">
        <f t="shared" si="8"/>
        <v>24850</v>
      </c>
      <c r="L32" s="469">
        <f t="shared" si="8"/>
        <v>2640</v>
      </c>
      <c r="M32" s="469">
        <f t="shared" si="8"/>
        <v>54186</v>
      </c>
      <c r="N32" s="469">
        <f t="shared" si="8"/>
        <v>26696</v>
      </c>
      <c r="O32" s="469">
        <f t="shared" si="8"/>
        <v>24850</v>
      </c>
      <c r="P32" s="469">
        <f t="shared" si="8"/>
        <v>2640</v>
      </c>
      <c r="Q32" s="469">
        <f t="shared" si="8"/>
        <v>54186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136432</v>
      </c>
      <c r="D33" s="147">
        <f>'(F2) Shpenzimet sipas nenfunk.b'!D65</f>
        <v>136432</v>
      </c>
      <c r="E33" s="147">
        <f>'(F2) Shpenzimet sipas nenfunk.b'!E65</f>
        <v>136432</v>
      </c>
      <c r="F33" s="80">
        <f>'(F2) Shpenzimet sipas nenfunk.b'!F65</f>
        <v>140348</v>
      </c>
      <c r="G33" s="80">
        <f>'(F2) Shpenzimet sipas nenfunk.b'!G65</f>
        <v>14307</v>
      </c>
      <c r="H33" s="80">
        <f>'(F2) Shpenzimet sipas nenfunk.b'!H65</f>
        <v>2950</v>
      </c>
      <c r="I33" s="143">
        <f>'(F2) Shpenzimet sipas nenfunk.b'!I65</f>
        <v>157605</v>
      </c>
      <c r="J33" s="80">
        <f>'(F2) Shpenzimet sipas nenfunk.b'!J65</f>
        <v>140348</v>
      </c>
      <c r="K33" s="80">
        <f>'(F2) Shpenzimet sipas nenfunk.b'!K65</f>
        <v>14307</v>
      </c>
      <c r="L33" s="80">
        <f>'(F2) Shpenzimet sipas nenfunk.b'!L65</f>
        <v>2950</v>
      </c>
      <c r="M33" s="143">
        <f>'(F2) Shpenzimet sipas nenfunk.b'!M65</f>
        <v>157605</v>
      </c>
      <c r="N33" s="80">
        <f>'(F2) Shpenzimet sipas nenfunk.b'!N65</f>
        <v>140348</v>
      </c>
      <c r="O33" s="80">
        <f>'(F2) Shpenzimet sipas nenfunk.b'!O65</f>
        <v>14307</v>
      </c>
      <c r="P33" s="80">
        <f>'(F2) Shpenzimet sipas nenfunk.b'!P65</f>
        <v>2950</v>
      </c>
      <c r="Q33" s="143">
        <f>'(F2) Shpenzimet sipas nenfunk.b'!Q65</f>
        <v>157605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30860</v>
      </c>
      <c r="D34" s="147">
        <f>'(F2) Shpenzimet sipas nenfunk.b'!D67</f>
        <v>30860</v>
      </c>
      <c r="E34" s="147">
        <f>'(F2) Shpenzimet sipas nenfunk.b'!E67</f>
        <v>30860</v>
      </c>
      <c r="F34" s="80">
        <f>'(F2) Shpenzimet sipas nenfunk.b'!F67</f>
        <v>33608</v>
      </c>
      <c r="G34" s="80">
        <f>'(F2) Shpenzimet sipas nenfunk.b'!G67</f>
        <v>14024</v>
      </c>
      <c r="H34" s="80">
        <f>'(F2) Shpenzimet sipas nenfunk.b'!H67</f>
        <v>0</v>
      </c>
      <c r="I34" s="143">
        <f>'(F2) Shpenzimet sipas nenfunk.b'!I67</f>
        <v>47632</v>
      </c>
      <c r="J34" s="80">
        <f>'(F2) Shpenzimet sipas nenfunk.b'!J67</f>
        <v>33608</v>
      </c>
      <c r="K34" s="80">
        <f>'(F2) Shpenzimet sipas nenfunk.b'!K67</f>
        <v>14024</v>
      </c>
      <c r="L34" s="80">
        <f>'(F2) Shpenzimet sipas nenfunk.b'!L67</f>
        <v>0</v>
      </c>
      <c r="M34" s="143">
        <f>'(F2) Shpenzimet sipas nenfunk.b'!M67</f>
        <v>47632</v>
      </c>
      <c r="N34" s="80">
        <f>'(F2) Shpenzimet sipas nenfunk.b'!N67</f>
        <v>33608</v>
      </c>
      <c r="O34" s="80">
        <f>'(F2) Shpenzimet sipas nenfunk.b'!O67</f>
        <v>14024</v>
      </c>
      <c r="P34" s="80">
        <f>'(F2) Shpenzimet sipas nenfunk.b'!P67</f>
        <v>0</v>
      </c>
      <c r="Q34" s="143">
        <f>'(F2) Shpenzimet sipas nenfunk.b'!Q67</f>
        <v>47632</v>
      </c>
    </row>
    <row r="35" spans="1:17" ht="15" customHeight="1" x14ac:dyDescent="0.2">
      <c r="A35" s="755" t="str">
        <f>'(G1) Fjalori'!A440</f>
        <v>09 Arsimi</v>
      </c>
      <c r="B35" s="756"/>
      <c r="C35" s="469">
        <f t="shared" ref="C35:Q35" si="9">SUM(C33:C34)</f>
        <v>167292</v>
      </c>
      <c r="D35" s="469">
        <f t="shared" si="9"/>
        <v>167292</v>
      </c>
      <c r="E35" s="469">
        <f t="shared" si="9"/>
        <v>167292</v>
      </c>
      <c r="F35" s="469">
        <f t="shared" si="9"/>
        <v>173956</v>
      </c>
      <c r="G35" s="469">
        <f t="shared" si="9"/>
        <v>28331</v>
      </c>
      <c r="H35" s="469">
        <f t="shared" si="9"/>
        <v>2950</v>
      </c>
      <c r="I35" s="469">
        <f t="shared" si="9"/>
        <v>205237</v>
      </c>
      <c r="J35" s="469">
        <f t="shared" si="9"/>
        <v>173956</v>
      </c>
      <c r="K35" s="469">
        <f t="shared" si="9"/>
        <v>28331</v>
      </c>
      <c r="L35" s="469">
        <f t="shared" si="9"/>
        <v>2950</v>
      </c>
      <c r="M35" s="469">
        <f t="shared" si="9"/>
        <v>205237</v>
      </c>
      <c r="N35" s="469">
        <f t="shared" si="9"/>
        <v>173956</v>
      </c>
      <c r="O35" s="469">
        <f t="shared" si="9"/>
        <v>28331</v>
      </c>
      <c r="P35" s="469">
        <f t="shared" si="9"/>
        <v>2950</v>
      </c>
      <c r="Q35" s="469">
        <f t="shared" si="9"/>
        <v>205237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360479</v>
      </c>
      <c r="D36" s="147">
        <f>'(F2) Shpenzimet sipas nenfunk.b'!D71</f>
        <v>554706</v>
      </c>
      <c r="E36" s="147">
        <f>'(F2) Shpenzimet sipas nenfunk.b'!E71</f>
        <v>598734</v>
      </c>
      <c r="F36" s="80">
        <f>'(F2) Shpenzimet sipas nenfunk.b'!F71</f>
        <v>1940</v>
      </c>
      <c r="G36" s="80">
        <f>'(F2) Shpenzimet sipas nenfunk.b'!G71</f>
        <v>338304</v>
      </c>
      <c r="H36" s="80">
        <f>'(F2) Shpenzimet sipas nenfunk.b'!H71</f>
        <v>0</v>
      </c>
      <c r="I36" s="143">
        <f>'(F2) Shpenzimet sipas nenfunk.b'!I71</f>
        <v>340244</v>
      </c>
      <c r="J36" s="80">
        <f>'(F2) Shpenzimet sipas nenfunk.b'!J71</f>
        <v>1940</v>
      </c>
      <c r="K36" s="80">
        <f>'(F2) Shpenzimet sipas nenfunk.b'!K71</f>
        <v>341304</v>
      </c>
      <c r="L36" s="80">
        <f>'(F2) Shpenzimet sipas nenfunk.b'!L71</f>
        <v>0</v>
      </c>
      <c r="M36" s="143">
        <f>'(F2) Shpenzimet sipas nenfunk.b'!M71</f>
        <v>343244</v>
      </c>
      <c r="N36" s="80">
        <f>'(F2) Shpenzimet sipas nenfunk.b'!N71</f>
        <v>1940</v>
      </c>
      <c r="O36" s="80">
        <f>'(F2) Shpenzimet sipas nenfunk.b'!O71</f>
        <v>338304</v>
      </c>
      <c r="P36" s="80">
        <f>'(F2) Shpenzimet sipas nenfunk.b'!P71</f>
        <v>0</v>
      </c>
      <c r="Q36" s="143">
        <f>'(F2) Shpenzimet sipas nenfunk.b'!Q71</f>
        <v>340244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143066</v>
      </c>
      <c r="D38" s="147">
        <f>'(F2) Shpenzimet sipas nenfunk.b'!D75</f>
        <v>143066</v>
      </c>
      <c r="E38" s="147">
        <f>'(F2) Shpenzimet sipas nenfunk.b'!E75</f>
        <v>143066</v>
      </c>
      <c r="F38" s="80">
        <f>'(F2) Shpenzimet sipas nenfunk.b'!F75</f>
        <v>17800</v>
      </c>
      <c r="G38" s="80">
        <f>'(F2) Shpenzimet sipas nenfunk.b'!G75</f>
        <v>2300</v>
      </c>
      <c r="H38" s="80">
        <f>'(F2) Shpenzimet sipas nenfunk.b'!H75</f>
        <v>0</v>
      </c>
      <c r="I38" s="143">
        <f>'(F2) Shpenzimet sipas nenfunk.b'!I75</f>
        <v>20100</v>
      </c>
      <c r="J38" s="80">
        <f>'(F2) Shpenzimet sipas nenfunk.b'!J75</f>
        <v>17744</v>
      </c>
      <c r="K38" s="80">
        <f>'(F2) Shpenzimet sipas nenfunk.b'!K75</f>
        <v>2300</v>
      </c>
      <c r="L38" s="80">
        <f>'(F2) Shpenzimet sipas nenfunk.b'!L75</f>
        <v>0</v>
      </c>
      <c r="M38" s="143">
        <f>'(F2) Shpenzimet sipas nenfunk.b'!M75</f>
        <v>20044</v>
      </c>
      <c r="N38" s="80">
        <f>'(F2) Shpenzimet sipas nenfunk.b'!N75</f>
        <v>17800</v>
      </c>
      <c r="O38" s="80">
        <f>'(F2) Shpenzimet sipas nenfunk.b'!O75</f>
        <v>2300</v>
      </c>
      <c r="P38" s="80">
        <f>'(F2) Shpenzimet sipas nenfunk.b'!P75</f>
        <v>0</v>
      </c>
      <c r="Q38" s="143">
        <f>'(F2) Shpenzimet sipas nenfunk.b'!Q75</f>
        <v>20100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414697</v>
      </c>
      <c r="D40" s="147">
        <f>'(F2) Shpenzimet sipas nenfunk.b'!D80</f>
        <v>414597</v>
      </c>
      <c r="E40" s="147">
        <f>'(F2) Shpenzimet sipas nenfunk.b'!E80</f>
        <v>414697</v>
      </c>
      <c r="F40" s="80">
        <f>'(F2) Shpenzimet sipas nenfunk.b'!F80</f>
        <v>0</v>
      </c>
      <c r="G40" s="80">
        <f>'(F2) Shpenzimet sipas nenfunk.b'!G80</f>
        <v>530000</v>
      </c>
      <c r="H40" s="80">
        <f>'(F2) Shpenzimet sipas nenfunk.b'!H80</f>
        <v>0</v>
      </c>
      <c r="I40" s="143">
        <f>'(F2) Shpenzimet sipas nenfunk.b'!I80</f>
        <v>530000</v>
      </c>
      <c r="J40" s="80">
        <f>'(F2) Shpenzimet sipas nenfunk.b'!J80</f>
        <v>0</v>
      </c>
      <c r="K40" s="80">
        <f>'(F2) Shpenzimet sipas nenfunk.b'!K80</f>
        <v>532000</v>
      </c>
      <c r="L40" s="80">
        <f>'(F2) Shpenzimet sipas nenfunk.b'!L80</f>
        <v>0</v>
      </c>
      <c r="M40" s="143">
        <f>'(F2) Shpenzimet sipas nenfunk.b'!M80</f>
        <v>532000</v>
      </c>
      <c r="N40" s="80">
        <f>'(F2) Shpenzimet sipas nenfunk.b'!N80</f>
        <v>0</v>
      </c>
      <c r="O40" s="80">
        <f>'(F2) Shpenzimet sipas nenfunk.b'!O80</f>
        <v>531408</v>
      </c>
      <c r="P40" s="80">
        <f>'(F2) Shpenzimet sipas nenfunk.b'!P80</f>
        <v>0</v>
      </c>
      <c r="Q40" s="143">
        <f>'(F2) Shpenzimet sipas nenfunk.b'!Q80</f>
        <v>531408</v>
      </c>
    </row>
    <row r="41" spans="1:17" ht="15" customHeight="1" x14ac:dyDescent="0.2">
      <c r="A41" s="755" t="str">
        <f>'(G1) Fjalori'!A441</f>
        <v>10 Mbrojtja Sociale</v>
      </c>
      <c r="B41" s="756"/>
      <c r="C41" s="469">
        <f t="shared" ref="C41:Q41" si="10">SUM(C36:C40)</f>
        <v>918242</v>
      </c>
      <c r="D41" s="469">
        <f t="shared" si="10"/>
        <v>1112369</v>
      </c>
      <c r="E41" s="469">
        <f t="shared" si="10"/>
        <v>1156497</v>
      </c>
      <c r="F41" s="469">
        <f t="shared" si="10"/>
        <v>19740</v>
      </c>
      <c r="G41" s="469">
        <f t="shared" si="10"/>
        <v>870604</v>
      </c>
      <c r="H41" s="469">
        <f t="shared" si="10"/>
        <v>0</v>
      </c>
      <c r="I41" s="469">
        <f t="shared" si="10"/>
        <v>890344</v>
      </c>
      <c r="J41" s="469">
        <f t="shared" si="10"/>
        <v>19684</v>
      </c>
      <c r="K41" s="469">
        <f t="shared" si="10"/>
        <v>875604</v>
      </c>
      <c r="L41" s="469">
        <f t="shared" si="10"/>
        <v>0</v>
      </c>
      <c r="M41" s="469">
        <f t="shared" si="10"/>
        <v>895288</v>
      </c>
      <c r="N41" s="469">
        <f t="shared" si="10"/>
        <v>19740</v>
      </c>
      <c r="O41" s="469">
        <f t="shared" si="10"/>
        <v>872012</v>
      </c>
      <c r="P41" s="469">
        <f t="shared" si="10"/>
        <v>0</v>
      </c>
      <c r="Q41" s="469">
        <f t="shared" si="10"/>
        <v>891752</v>
      </c>
    </row>
    <row r="42" spans="1:17" ht="15" customHeight="1" x14ac:dyDescent="0.2">
      <c r="A42" s="1061" t="str">
        <f>'(G1) Fjalori'!A751</f>
        <v>TOTALI I FONDEVE REZERVE + KONTIGJENCË</v>
      </c>
      <c r="B42" s="1062"/>
      <c r="C42" s="755"/>
      <c r="D42" s="766"/>
      <c r="E42" s="767"/>
      <c r="F42" s="755"/>
      <c r="G42" s="766"/>
      <c r="H42" s="767"/>
      <c r="I42" s="469">
        <f>'(D1) Tavanet buxhetore'!C494</f>
        <v>23272.001310000007</v>
      </c>
      <c r="J42" s="755"/>
      <c r="K42" s="766"/>
      <c r="L42" s="767"/>
      <c r="M42" s="469">
        <f>'(D1) Tavanet buxhetore'!D494</f>
        <v>23914.264310000006</v>
      </c>
      <c r="N42" s="755"/>
      <c r="O42" s="766"/>
      <c r="P42" s="767"/>
      <c r="Q42" s="469">
        <f>'(D1) Tavanet buxhetore'!E494</f>
        <v>24755.409310000006</v>
      </c>
    </row>
    <row r="43" spans="1:17" ht="15" customHeight="1" x14ac:dyDescent="0.2">
      <c r="A43" s="1040" t="str">
        <f>'(G1) Fjalori'!A426</f>
        <v>Totali</v>
      </c>
      <c r="B43" s="1040"/>
      <c r="C43" s="237">
        <f t="shared" ref="C43:Q43" si="11">C42+C41+C35+C32+C29+C27+C22+C17+C12+C8</f>
        <v>1521488</v>
      </c>
      <c r="D43" s="237">
        <f t="shared" si="11"/>
        <v>1715615</v>
      </c>
      <c r="E43" s="237">
        <f t="shared" si="11"/>
        <v>1759743</v>
      </c>
      <c r="F43" s="237">
        <f t="shared" si="11"/>
        <v>519710</v>
      </c>
      <c r="G43" s="237">
        <f t="shared" si="11"/>
        <v>1083034</v>
      </c>
      <c r="H43" s="237">
        <f t="shared" si="11"/>
        <v>134027</v>
      </c>
      <c r="I43" s="237">
        <f t="shared" si="11"/>
        <v>1760043.00131</v>
      </c>
      <c r="J43" s="237">
        <f t="shared" si="11"/>
        <v>514534</v>
      </c>
      <c r="K43" s="237">
        <f t="shared" si="11"/>
        <v>1097654</v>
      </c>
      <c r="L43" s="237">
        <f t="shared" si="11"/>
        <v>146527</v>
      </c>
      <c r="M43" s="237">
        <f t="shared" si="11"/>
        <v>1782629.26431</v>
      </c>
      <c r="N43" s="237">
        <f t="shared" si="11"/>
        <v>523210</v>
      </c>
      <c r="O43" s="237">
        <f t="shared" si="11"/>
        <v>1084442</v>
      </c>
      <c r="P43" s="237">
        <f t="shared" si="11"/>
        <v>179226</v>
      </c>
      <c r="Q43" s="237">
        <f t="shared" si="11"/>
        <v>1811633.40931</v>
      </c>
    </row>
  </sheetData>
  <sheetProtection algorithmName="SHA-512" hashValue="jH0eSq9L5wLVCzx+84LJNowxQ4uqWxejej6gdVuiQbxHuWq20p0zgDfNnNDGKcY8Aq7m+n0D07D05wyfXWnx+A==" saltValue="I4Y65Af7RlPPfZvY4tFo6A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zoomScaleNormal="10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57" t="str">
        <f>'(G1) Fjalori'!A443</f>
        <v>(F7) GRAFIKU I SHPENZIMEVE SIPAS FUNKSIONIT - VLERA BRUTO</v>
      </c>
      <c r="B1" s="858"/>
      <c r="C1" s="858"/>
      <c r="D1" s="858"/>
      <c r="E1" s="858"/>
      <c r="F1" s="858"/>
      <c r="G1" s="858"/>
      <c r="H1" s="858"/>
      <c r="I1" s="858"/>
      <c r="J1" s="85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179503</v>
      </c>
      <c r="E4" s="154">
        <f>'(F6) Shpenzimet sipas funks.bru'!D8</f>
        <v>179503</v>
      </c>
      <c r="F4" s="154">
        <f>'(F6) Shpenzimet sipas funks.bru'!E8</f>
        <v>179503</v>
      </c>
      <c r="G4" s="154">
        <f>'(F6) Shpenzimet sipas funks.bru'!I8</f>
        <v>215173</v>
      </c>
      <c r="H4" s="154">
        <f>'(F6) Shpenzimet sipas funks.bru'!M8</f>
        <v>216173</v>
      </c>
      <c r="I4" s="154">
        <f>'(F6) Shpenzimet sipas funks.bru'!Q8</f>
        <v>216173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21298</v>
      </c>
      <c r="E5" s="154">
        <f>'(F6) Shpenzimet sipas funks.bru'!D12</f>
        <v>21298</v>
      </c>
      <c r="F5" s="154">
        <f>'(F6) Shpenzimet sipas funks.bru'!E12</f>
        <v>21298</v>
      </c>
      <c r="G5" s="154">
        <f>'(F6) Shpenzimet sipas funks.bru'!I12</f>
        <v>39100</v>
      </c>
      <c r="H5" s="154">
        <f>'(F6) Shpenzimet sipas funks.bru'!M12</f>
        <v>39100</v>
      </c>
      <c r="I5" s="154">
        <f>'(F6) Shpenzimet sipas funks.bru'!Q12</f>
        <v>39100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53964</v>
      </c>
      <c r="E6" s="154">
        <f>'(F6) Shpenzimet sipas funks.bru'!D17</f>
        <v>53964</v>
      </c>
      <c r="F6" s="154">
        <f>'(F6) Shpenzimet sipas funks.bru'!E17</f>
        <v>53964</v>
      </c>
      <c r="G6" s="154">
        <f>'(F6) Shpenzimet sipas funks.bru'!I17</f>
        <v>107520</v>
      </c>
      <c r="H6" s="154">
        <f>'(F6) Shpenzimet sipas funks.bru'!M17</f>
        <v>120520</v>
      </c>
      <c r="I6" s="154">
        <f>'(F6) Shpenzimet sipas funks.bru'!Q17</f>
        <v>147519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0</v>
      </c>
      <c r="E7" s="154">
        <f>'(F6) Shpenzimet sipas funks.bru'!D22</f>
        <v>0</v>
      </c>
      <c r="F7" s="154">
        <f>'(F6) Shpenzimet sipas funks.bru'!E22</f>
        <v>0</v>
      </c>
      <c r="G7" s="154">
        <f>'(F6) Shpenzimet sipas funks.bru'!I22</f>
        <v>23610</v>
      </c>
      <c r="H7" s="154">
        <f>'(F6) Shpenzimet sipas funks.bru'!M22</f>
        <v>24610</v>
      </c>
      <c r="I7" s="154">
        <f>'(F6) Shpenzimet sipas funks.bru'!Q22</f>
        <v>24110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151291</v>
      </c>
      <c r="E8" s="154">
        <f>'(F6) Shpenzimet sipas funks.bru'!D27</f>
        <v>151291</v>
      </c>
      <c r="F8" s="154">
        <f>'(F6) Shpenzimet sipas funks.bru'!E27</f>
        <v>151291</v>
      </c>
      <c r="G8" s="154">
        <f>'(F6) Shpenzimet sipas funks.bru'!I27</f>
        <v>177071</v>
      </c>
      <c r="H8" s="154">
        <f>'(F6) Shpenzimet sipas funks.bru'!M27</f>
        <v>179071</v>
      </c>
      <c r="I8" s="154">
        <f>'(F6) Shpenzimet sipas funks.bru'!Q27</f>
        <v>184271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24530</v>
      </c>
      <c r="H9" s="154">
        <f>'(F6) Shpenzimet sipas funks.bru'!M29</f>
        <v>24530</v>
      </c>
      <c r="I9" s="154">
        <f>'(F6) Shpenzimet sipas funks.bru'!Q29</f>
        <v>24530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29898</v>
      </c>
      <c r="E10" s="154">
        <f>'(F6) Shpenzimet sipas funks.bru'!D32</f>
        <v>29898</v>
      </c>
      <c r="F10" s="154">
        <f>'(F6) Shpenzimet sipas funks.bru'!E32</f>
        <v>29898</v>
      </c>
      <c r="G10" s="154">
        <f>'(F6) Shpenzimet sipas funks.bru'!I32</f>
        <v>54186</v>
      </c>
      <c r="H10" s="154">
        <f>'(F6) Shpenzimet sipas funks.bru'!M32</f>
        <v>54186</v>
      </c>
      <c r="I10" s="154">
        <f>'(F6) Shpenzimet sipas funks.bru'!Q32</f>
        <v>54186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167292</v>
      </c>
      <c r="E11" s="154">
        <f>'(F6) Shpenzimet sipas funks.bru'!D35</f>
        <v>167292</v>
      </c>
      <c r="F11" s="154">
        <f>'(F6) Shpenzimet sipas funks.bru'!E35</f>
        <v>167292</v>
      </c>
      <c r="G11" s="154">
        <f>'(F6) Shpenzimet sipas funks.bru'!I35</f>
        <v>205237</v>
      </c>
      <c r="H11" s="154">
        <f>'(F6) Shpenzimet sipas funks.bru'!M35</f>
        <v>205237</v>
      </c>
      <c r="I11" s="154">
        <f>'(F6) Shpenzimet sipas funks.bru'!Q35</f>
        <v>205237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918242</v>
      </c>
      <c r="E12" s="154">
        <f>'(F6) Shpenzimet sipas funks.bru'!D41</f>
        <v>1112369</v>
      </c>
      <c r="F12" s="154">
        <f>'(F6) Shpenzimet sipas funks.bru'!E41</f>
        <v>1156497</v>
      </c>
      <c r="G12" s="154">
        <f>'(F6) Shpenzimet sipas funks.bru'!I41</f>
        <v>890344</v>
      </c>
      <c r="H12" s="154">
        <f>'(F6) Shpenzimet sipas funks.bru'!M41</f>
        <v>895288</v>
      </c>
      <c r="I12" s="154">
        <f>'(F6) Shpenzimet sipas funks.bru'!Q41</f>
        <v>891752</v>
      </c>
    </row>
    <row r="13" spans="1:10" ht="15" customHeight="1" thickBot="1" x14ac:dyDescent="0.25">
      <c r="B13" s="1059" t="str">
        <f>'(G1) Fjalori'!A426:B426</f>
        <v>Total</v>
      </c>
      <c r="C13" s="1060"/>
      <c r="D13" s="154">
        <f t="shared" ref="D13:I13" si="0">SUM(D4:D12)</f>
        <v>1521488</v>
      </c>
      <c r="E13" s="154">
        <f t="shared" si="0"/>
        <v>1715615</v>
      </c>
      <c r="F13" s="154">
        <f t="shared" si="0"/>
        <v>1759743</v>
      </c>
      <c r="G13" s="154">
        <f t="shared" si="0"/>
        <v>1736771</v>
      </c>
      <c r="H13" s="154">
        <f t="shared" si="0"/>
        <v>1758715</v>
      </c>
      <c r="I13" s="154">
        <f t="shared" si="0"/>
        <v>1786878</v>
      </c>
    </row>
  </sheetData>
  <sheetProtection algorithmName="SHA-512" hashValue="5P6udTqReGV7H98/wDxgnCubvuTk6dMrzT3rsv/YzvDxkaiO3J0kfZbUrJyy/pz5kN1a98pBgWf0RxMWJe56eA==" saltValue="hEDyOKrkJ6Sl2T6JZxlfaw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B1" zoomScaleNormal="100" workbookViewId="0">
      <selection activeCell="I169" sqref="I16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64" t="str">
        <f>'(G1) Fjalori'!A13</f>
        <v>Verdhë = Per tu plotësuar nga Departamenti i Financës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6"/>
    </row>
    <row r="3" spans="1:17" ht="21" x14ac:dyDescent="0.35">
      <c r="A3" s="867" t="str">
        <f>'(G1) Fjalori'!A205</f>
        <v>(C1) SHPENZIMET: VITET E KALUARA DHE VITI AKTUAL</v>
      </c>
      <c r="B3" s="868"/>
      <c r="C3" s="868"/>
      <c r="D3" s="868"/>
      <c r="E3" s="868"/>
      <c r="F3" s="868"/>
      <c r="G3" s="868"/>
      <c r="H3" s="868"/>
      <c r="I3" s="868"/>
      <c r="J3" s="868"/>
      <c r="K3" s="868"/>
      <c r="L3" s="868"/>
      <c r="M3" s="868"/>
      <c r="N3" s="868"/>
      <c r="O3" s="869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70">
        <f>'(B1)Informacion i përgjithshëm '!B5</f>
        <v>2019</v>
      </c>
      <c r="E5" s="870"/>
      <c r="F5" s="870"/>
      <c r="G5" s="870"/>
      <c r="H5" s="870">
        <f>'(B1)Informacion i përgjithshëm '!B6</f>
        <v>2020</v>
      </c>
      <c r="I5" s="870"/>
      <c r="J5" s="870"/>
      <c r="K5" s="870"/>
      <c r="L5" s="870">
        <f>'(B1)Informacion i përgjithshëm '!B7</f>
        <v>2021</v>
      </c>
      <c r="M5" s="870"/>
      <c r="N5" s="870"/>
      <c r="O5" s="870"/>
    </row>
    <row r="6" spans="1:17" s="70" customFormat="1" ht="25.5" customHeight="1" x14ac:dyDescent="0.25">
      <c r="A6" s="69"/>
      <c r="B6" s="264"/>
      <c r="C6" s="69"/>
      <c r="D6" s="871" t="str">
        <f>'(G1) Fjalori'!A5</f>
        <v>Viti t-2</v>
      </c>
      <c r="E6" s="871"/>
      <c r="F6" s="871"/>
      <c r="G6" s="871"/>
      <c r="H6" s="871" t="str">
        <f>'(G1) Fjalori'!A6</f>
        <v>Viti i shkuar</v>
      </c>
      <c r="I6" s="871"/>
      <c r="J6" s="871"/>
      <c r="K6" s="871"/>
      <c r="L6" s="871" t="str">
        <f>'(G1) Fjalori'!A7</f>
        <v>Viti aktual</v>
      </c>
      <c r="M6" s="871"/>
      <c r="N6" s="871"/>
      <c r="O6" s="871"/>
    </row>
    <row r="7" spans="1:17" s="240" customFormat="1" ht="39" customHeight="1" thickBot="1" x14ac:dyDescent="0.3">
      <c r="B7" s="265"/>
      <c r="D7" s="659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9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9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4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5"/>
    </row>
    <row r="9" spans="1:17" ht="18.75" x14ac:dyDescent="0.2">
      <c r="A9" s="692" t="str">
        <f>'(B3) Struktura Funksionale'!A7</f>
        <v>Nënfunksioni 1</v>
      </c>
      <c r="B9" s="692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6"/>
      <c r="P9" s="255"/>
      <c r="Q9" s="256"/>
    </row>
    <row r="10" spans="1:17" x14ac:dyDescent="0.2">
      <c r="A10" s="196" t="str">
        <f>'(B3) Struktura Funksionale'!A8</f>
        <v>Programi 1a</v>
      </c>
      <c r="B10" s="670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132229</v>
      </c>
      <c r="E10" s="392">
        <f>172638-3166</f>
        <v>169472</v>
      </c>
      <c r="F10" s="203">
        <v>37243</v>
      </c>
      <c r="G10" s="203"/>
      <c r="H10" s="201">
        <f>+I10-J10-K10</f>
        <v>12229</v>
      </c>
      <c r="I10" s="392">
        <f>172638-3166</f>
        <v>169472</v>
      </c>
      <c r="J10" s="203">
        <v>37243</v>
      </c>
      <c r="K10" s="203">
        <v>120000</v>
      </c>
      <c r="L10" s="201">
        <f>+M10-N10-O10</f>
        <v>12229</v>
      </c>
      <c r="M10" s="392">
        <f>172638-3166</f>
        <v>169472</v>
      </c>
      <c r="N10" s="203">
        <v>37243</v>
      </c>
      <c r="O10" s="203">
        <v>120000</v>
      </c>
      <c r="P10" s="66">
        <f>I10-J10-K10</f>
        <v>12229</v>
      </c>
      <c r="Q10" s="66">
        <f>M10-N10-O10</f>
        <v>12229</v>
      </c>
    </row>
    <row r="11" spans="1:17" x14ac:dyDescent="0.2">
      <c r="A11" s="196" t="str">
        <f>'(B3) Struktura Funksionale'!A9</f>
        <v>Programi 1b</v>
      </c>
      <c r="B11" s="670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1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 x14ac:dyDescent="0.2">
      <c r="A12" s="196" t="str">
        <f>'(B3) Struktura Funksionale'!A10</f>
        <v>Programi 1c</v>
      </c>
      <c r="B12" s="670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0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10031</v>
      </c>
      <c r="E13" s="206">
        <v>10031</v>
      </c>
      <c r="F13" s="206"/>
      <c r="G13" s="206"/>
      <c r="H13" s="201">
        <f t="shared" si="1"/>
        <v>10031</v>
      </c>
      <c r="I13" s="206">
        <v>10031</v>
      </c>
      <c r="J13" s="206"/>
      <c r="K13" s="206"/>
      <c r="L13" s="201">
        <f t="shared" si="2"/>
        <v>10031</v>
      </c>
      <c r="M13" s="206">
        <v>10031</v>
      </c>
      <c r="N13" s="206"/>
      <c r="O13" s="206"/>
    </row>
    <row r="14" spans="1:17" x14ac:dyDescent="0.2">
      <c r="A14" s="196" t="str">
        <f>'(B3) Struktura Funksionale'!A12</f>
        <v>Programi 1e</v>
      </c>
      <c r="B14" s="670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6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0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142260</v>
      </c>
      <c r="E16" s="201">
        <f>SUM(E10:E15)</f>
        <v>179503</v>
      </c>
      <c r="F16" s="201">
        <f>SUM(F10:F15)</f>
        <v>37243</v>
      </c>
      <c r="G16" s="201">
        <f>SUM(G10:G15)</f>
        <v>0</v>
      </c>
      <c r="H16" s="201">
        <f t="shared" si="1"/>
        <v>22260</v>
      </c>
      <c r="I16" s="201">
        <f>SUM(I10:I15)</f>
        <v>179503</v>
      </c>
      <c r="J16" s="201">
        <f>SUM(J10:J15)</f>
        <v>37243</v>
      </c>
      <c r="K16" s="201">
        <f>SUM(K10:K15)</f>
        <v>120000</v>
      </c>
      <c r="L16" s="201">
        <f t="shared" si="2"/>
        <v>22260</v>
      </c>
      <c r="M16" s="201">
        <f>SUM(M10:M15)</f>
        <v>179503</v>
      </c>
      <c r="N16" s="201">
        <f>SUM(N10:N15)</f>
        <v>37243</v>
      </c>
      <c r="O16" s="201">
        <f>SUM(O10:O15)</f>
        <v>120000</v>
      </c>
      <c r="P16" s="66">
        <f>I16-J16-K16</f>
        <v>22260</v>
      </c>
      <c r="Q16" s="66">
        <f>M16-N16-O16</f>
        <v>22260</v>
      </c>
    </row>
    <row r="17" spans="1:19" ht="18.75" x14ac:dyDescent="0.2">
      <c r="A17" s="688" t="str">
        <f>'(B3) Struktura Funksionale'!A14</f>
        <v>Nënfunksioni 2</v>
      </c>
      <c r="B17" s="688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0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0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0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0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0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4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5"/>
    </row>
    <row r="25" spans="1:19" ht="18.75" x14ac:dyDescent="0.2">
      <c r="A25" s="688" t="str">
        <f>'(B3) Struktura Funksionale'!A21</f>
        <v>Nënfunksioni 3</v>
      </c>
      <c r="B25" s="688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0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0</v>
      </c>
      <c r="E26" s="51"/>
      <c r="F26" s="51"/>
      <c r="G26" s="51"/>
      <c r="H26" s="201">
        <f t="shared" ref="H26:H29" si="10">+I26-J26-K26</f>
        <v>0</v>
      </c>
      <c r="I26" s="52"/>
      <c r="J26" s="51"/>
      <c r="K26" s="51"/>
      <c r="L26" s="201">
        <f t="shared" ref="L26:L29" si="11">+M26-N26-O26</f>
        <v>0</v>
      </c>
      <c r="M26" s="51"/>
      <c r="N26" s="51"/>
      <c r="O26" s="51"/>
      <c r="P26" s="66">
        <f t="shared" si="8"/>
        <v>0</v>
      </c>
      <c r="Q26" s="66">
        <f t="shared" si="9"/>
        <v>0</v>
      </c>
    </row>
    <row r="27" spans="1:19" x14ac:dyDescent="0.2">
      <c r="A27" s="196" t="str">
        <f>'(B3) Struktura Funksionale'!A23</f>
        <v>Programi 3b</v>
      </c>
      <c r="B27" s="670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0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0</v>
      </c>
      <c r="E29" s="201">
        <f>SUM(E26:E28)</f>
        <v>0</v>
      </c>
      <c r="F29" s="201">
        <f>SUM(F26:F28)</f>
        <v>0</v>
      </c>
      <c r="G29" s="201">
        <f>SUM(G26:G28)</f>
        <v>0</v>
      </c>
      <c r="H29" s="201">
        <f t="shared" si="10"/>
        <v>0</v>
      </c>
      <c r="I29" s="201">
        <f t="shared" ref="I29:K29" si="12">SUM(I26:I28)</f>
        <v>0</v>
      </c>
      <c r="J29" s="201">
        <f t="shared" si="12"/>
        <v>0</v>
      </c>
      <c r="K29" s="201">
        <f t="shared" si="12"/>
        <v>0</v>
      </c>
      <c r="L29" s="201">
        <f t="shared" si="11"/>
        <v>0</v>
      </c>
      <c r="M29" s="201">
        <f>SUM(M26:M28)</f>
        <v>0</v>
      </c>
      <c r="N29" s="201">
        <f>SUM(N26:N28)</f>
        <v>0</v>
      </c>
      <c r="O29" s="201">
        <f>SUM(O26:O28)</f>
        <v>0</v>
      </c>
      <c r="P29" s="66">
        <f t="shared" si="8"/>
        <v>0</v>
      </c>
      <c r="Q29" s="66">
        <f t="shared" si="9"/>
        <v>0</v>
      </c>
    </row>
    <row r="30" spans="1:19" ht="18.75" x14ac:dyDescent="0.2">
      <c r="A30" s="688" t="str">
        <f>'(B3) Struktura Funksionale'!A25</f>
        <v>Nënfunksioni 4</v>
      </c>
      <c r="B30" s="688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0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21298</v>
      </c>
      <c r="E31" s="51">
        <v>21298</v>
      </c>
      <c r="F31" s="51"/>
      <c r="G31" s="51"/>
      <c r="H31" s="201">
        <f t="shared" ref="H31:H34" si="13">+I31-J31-K31</f>
        <v>998</v>
      </c>
      <c r="I31" s="51">
        <v>21298</v>
      </c>
      <c r="J31" s="51"/>
      <c r="K31" s="51">
        <v>20300</v>
      </c>
      <c r="L31" s="201">
        <f t="shared" ref="L31:L34" si="14">+M31-N31-O31</f>
        <v>998</v>
      </c>
      <c r="M31" s="51">
        <v>21298</v>
      </c>
      <c r="N31" s="51"/>
      <c r="O31" s="51">
        <v>20300</v>
      </c>
      <c r="P31" s="66">
        <f t="shared" si="8"/>
        <v>998</v>
      </c>
      <c r="Q31" s="66">
        <f t="shared" si="9"/>
        <v>998</v>
      </c>
    </row>
    <row r="32" spans="1:19" x14ac:dyDescent="0.2">
      <c r="A32" s="196" t="str">
        <f>'(B3) Struktura Funksionale'!A27</f>
        <v>Programi 4b</v>
      </c>
      <c r="B32" s="670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0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21298</v>
      </c>
      <c r="E34" s="201">
        <f>SUM(E31:E33)</f>
        <v>21298</v>
      </c>
      <c r="F34" s="201">
        <f>SUM(F31:F33)</f>
        <v>0</v>
      </c>
      <c r="G34" s="201">
        <f>SUM(G31:G33)</f>
        <v>0</v>
      </c>
      <c r="H34" s="201">
        <f t="shared" si="13"/>
        <v>998</v>
      </c>
      <c r="I34" s="201">
        <f t="shared" ref="I34:K34" si="15">SUM(I31:I33)</f>
        <v>21298</v>
      </c>
      <c r="J34" s="201">
        <f t="shared" si="15"/>
        <v>0</v>
      </c>
      <c r="K34" s="201">
        <f t="shared" si="15"/>
        <v>20300</v>
      </c>
      <c r="L34" s="201">
        <f t="shared" si="14"/>
        <v>998</v>
      </c>
      <c r="M34" s="201">
        <f>SUM(M31:M33)</f>
        <v>21298</v>
      </c>
      <c r="N34" s="201">
        <f>SUM(N31:N33)</f>
        <v>0</v>
      </c>
      <c r="O34" s="201">
        <f>SUM(O31:O33)</f>
        <v>20300</v>
      </c>
      <c r="P34" s="66">
        <f t="shared" si="8"/>
        <v>998</v>
      </c>
      <c r="Q34" s="66">
        <f t="shared" si="9"/>
        <v>998</v>
      </c>
    </row>
    <row r="35" spans="1:17" ht="18.75" x14ac:dyDescent="0.2">
      <c r="A35" s="688" t="str">
        <f>'(B3) Struktura Funksionale'!A29</f>
        <v>Nënfunksioni 5</v>
      </c>
      <c r="B35" s="688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1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0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0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4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5"/>
    </row>
    <row r="41" spans="1:17" ht="18.75" x14ac:dyDescent="0.2">
      <c r="A41" s="688" t="str">
        <f>'(B3) Struktura Funksionale'!A34</f>
        <v>Nënfunksioni 6</v>
      </c>
      <c r="B41" s="688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0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0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0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0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0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0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6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2">
        <f t="shared" si="20"/>
        <v>0</v>
      </c>
      <c r="Q48" s="201">
        <f t="shared" si="20"/>
        <v>0</v>
      </c>
    </row>
    <row r="49" spans="1:17" ht="18.75" x14ac:dyDescent="0.2">
      <c r="A49" s="688" t="str">
        <f>'(B3) Struktura Funksionale'!A41</f>
        <v>Nënfunksioni 7</v>
      </c>
      <c r="B49" s="688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0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0</v>
      </c>
      <c r="M50" s="203"/>
      <c r="N50" s="203"/>
      <c r="O50" s="203"/>
      <c r="P50" s="66">
        <f>I50-J50-K50</f>
        <v>0</v>
      </c>
      <c r="Q50" s="66">
        <f>M50-N50-O50</f>
        <v>0</v>
      </c>
    </row>
    <row r="51" spans="1:17" hidden="1" x14ac:dyDescent="0.2">
      <c r="A51" s="196" t="str">
        <f>'(B3) Struktura Funksionale'!A43</f>
        <v>Programi 7b</v>
      </c>
      <c r="B51" s="670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0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0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10516</v>
      </c>
      <c r="E53" s="206">
        <v>15529</v>
      </c>
      <c r="F53" s="206">
        <v>5013</v>
      </c>
      <c r="G53" s="206"/>
      <c r="H53" s="201">
        <f t="shared" si="22"/>
        <v>0</v>
      </c>
      <c r="I53" s="206">
        <v>15529</v>
      </c>
      <c r="J53" s="206">
        <v>5013</v>
      </c>
      <c r="K53" s="206">
        <v>10516</v>
      </c>
      <c r="L53" s="201">
        <f t="shared" si="23"/>
        <v>0</v>
      </c>
      <c r="M53" s="206">
        <v>15529</v>
      </c>
      <c r="N53" s="206">
        <v>5013</v>
      </c>
      <c r="O53" s="206">
        <v>10516</v>
      </c>
    </row>
    <row r="54" spans="1:17" x14ac:dyDescent="0.2">
      <c r="A54" s="196" t="str">
        <f>'(B3) Struktura Funksionale'!A46</f>
        <v>Programi 7e</v>
      </c>
      <c r="B54" s="670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6853</v>
      </c>
      <c r="E54" s="206">
        <v>6853</v>
      </c>
      <c r="F54" s="206"/>
      <c r="G54" s="206"/>
      <c r="H54" s="201">
        <f t="shared" si="22"/>
        <v>0</v>
      </c>
      <c r="I54" s="206">
        <v>6853</v>
      </c>
      <c r="J54" s="206"/>
      <c r="K54" s="206">
        <v>6853</v>
      </c>
      <c r="L54" s="201">
        <f t="shared" si="23"/>
        <v>0</v>
      </c>
      <c r="M54" s="206">
        <v>6853</v>
      </c>
      <c r="N54" s="206"/>
      <c r="O54" s="206">
        <v>6853</v>
      </c>
    </row>
    <row r="55" spans="1:17" x14ac:dyDescent="0.2">
      <c r="A55" s="196" t="str">
        <f>'(B3) Struktura Funksionale'!A47</f>
        <v>Programi 7f</v>
      </c>
      <c r="B55" s="670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17369</v>
      </c>
      <c r="E56" s="201">
        <f>SUM(E50:E55)</f>
        <v>22382</v>
      </c>
      <c r="F56" s="201">
        <f t="shared" ref="F56:O56" si="24">SUM(F50:F55)</f>
        <v>5013</v>
      </c>
      <c r="G56" s="201">
        <f t="shared" si="24"/>
        <v>0</v>
      </c>
      <c r="H56" s="201">
        <f t="shared" si="22"/>
        <v>0</v>
      </c>
      <c r="I56" s="201">
        <f t="shared" si="24"/>
        <v>22382</v>
      </c>
      <c r="J56" s="201">
        <f t="shared" si="24"/>
        <v>5013</v>
      </c>
      <c r="K56" s="201">
        <f t="shared" si="24"/>
        <v>17369</v>
      </c>
      <c r="L56" s="201">
        <f t="shared" si="23"/>
        <v>0</v>
      </c>
      <c r="M56" s="201">
        <f t="shared" si="24"/>
        <v>22382</v>
      </c>
      <c r="N56" s="201">
        <f t="shared" si="24"/>
        <v>5013</v>
      </c>
      <c r="O56" s="201">
        <f t="shared" si="24"/>
        <v>17369</v>
      </c>
      <c r="P56" s="66">
        <f>I56-J56-K56</f>
        <v>0</v>
      </c>
      <c r="Q56" s="66">
        <f>M56-N56-O56</f>
        <v>0</v>
      </c>
    </row>
    <row r="57" spans="1:17" ht="18.75" x14ac:dyDescent="0.2">
      <c r="A57" s="688" t="str">
        <f>'(B3) Struktura Funksionale'!A48</f>
        <v>Nënfunksioni 8</v>
      </c>
      <c r="B57" s="688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0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28625</v>
      </c>
      <c r="E58" s="203">
        <v>31582</v>
      </c>
      <c r="F58" s="203">
        <v>2957</v>
      </c>
      <c r="G58" s="203"/>
      <c r="H58" s="201">
        <f t="shared" ref="H58:H62" si="25">+I58-J58-K58</f>
        <v>0</v>
      </c>
      <c r="I58" s="203">
        <v>31582</v>
      </c>
      <c r="J58" s="203">
        <v>2957</v>
      </c>
      <c r="K58" s="203">
        <v>28625</v>
      </c>
      <c r="L58" s="201">
        <f t="shared" ref="L58:L62" si="26">+M58-N58-O58</f>
        <v>0</v>
      </c>
      <c r="M58" s="203">
        <v>31582</v>
      </c>
      <c r="N58" s="203">
        <v>2957</v>
      </c>
      <c r="O58" s="203">
        <v>28625</v>
      </c>
      <c r="P58" s="66">
        <f>I58-J58-K58</f>
        <v>0</v>
      </c>
      <c r="Q58" s="66">
        <f>M58-N58-O58</f>
        <v>0</v>
      </c>
    </row>
    <row r="59" spans="1:17" hidden="1" x14ac:dyDescent="0.2">
      <c r="A59" s="196" t="str">
        <f>'(B3) Struktura Funksionale'!A50</f>
        <v>Programi 8b</v>
      </c>
      <c r="B59" s="670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0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0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28625</v>
      </c>
      <c r="E62" s="201">
        <f>SUM(E58:E61)</f>
        <v>31582</v>
      </c>
      <c r="F62" s="201">
        <f t="shared" ref="F62:O62" si="27">SUM(F58:F61)</f>
        <v>2957</v>
      </c>
      <c r="G62" s="201">
        <f t="shared" si="27"/>
        <v>0</v>
      </c>
      <c r="H62" s="201">
        <f t="shared" si="25"/>
        <v>0</v>
      </c>
      <c r="I62" s="201">
        <f t="shared" si="27"/>
        <v>31582</v>
      </c>
      <c r="J62" s="201">
        <f t="shared" si="27"/>
        <v>2957</v>
      </c>
      <c r="K62" s="201">
        <f t="shared" si="27"/>
        <v>28625</v>
      </c>
      <c r="L62" s="201">
        <f t="shared" si="26"/>
        <v>0</v>
      </c>
      <c r="M62" s="201">
        <f t="shared" si="27"/>
        <v>31582</v>
      </c>
      <c r="N62" s="201">
        <f t="shared" si="27"/>
        <v>2957</v>
      </c>
      <c r="O62" s="201">
        <f t="shared" si="27"/>
        <v>28625</v>
      </c>
      <c r="P62" s="66">
        <f>I62-J62-K62</f>
        <v>0</v>
      </c>
      <c r="Q62" s="66">
        <f>M62-N62-O62</f>
        <v>0</v>
      </c>
    </row>
    <row r="63" spans="1:17" ht="18.75" x14ac:dyDescent="0.2">
      <c r="A63" s="688" t="str">
        <f>'(B3) Struktura Funksionale'!A53</f>
        <v>Nënfunksioni 9</v>
      </c>
      <c r="B63" s="688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0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0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0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0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3">
        <f t="shared" si="30"/>
        <v>0</v>
      </c>
      <c r="Q68" s="68">
        <f t="shared" si="30"/>
        <v>0</v>
      </c>
    </row>
    <row r="69" spans="1:17" s="240" customFormat="1" ht="19.5" thickBot="1" x14ac:dyDescent="0.35">
      <c r="A69" s="714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5"/>
    </row>
    <row r="70" spans="1:17" ht="22.5" customHeight="1" x14ac:dyDescent="0.2">
      <c r="A70" s="688" t="str">
        <f>'(B3) Struktura Funksionale'!A59</f>
        <v>Nënfunksioni 10</v>
      </c>
      <c r="B70" s="688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0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0</v>
      </c>
      <c r="E71" s="203"/>
      <c r="F71" s="203"/>
      <c r="G71" s="203"/>
      <c r="H71" s="201">
        <f t="shared" ref="H71:H74" si="33">+I71-J71-K71</f>
        <v>0</v>
      </c>
      <c r="I71" s="203"/>
      <c r="J71" s="203"/>
      <c r="K71" s="203"/>
      <c r="L71" s="201">
        <f t="shared" ref="L71:L74" si="34">+M71-N71-O71</f>
        <v>0</v>
      </c>
      <c r="M71" s="203"/>
      <c r="N71" s="203"/>
      <c r="O71" s="203"/>
      <c r="P71" s="66">
        <f t="shared" si="31"/>
        <v>0</v>
      </c>
      <c r="Q71" s="66">
        <f t="shared" si="32"/>
        <v>0</v>
      </c>
    </row>
    <row r="72" spans="1:17" x14ac:dyDescent="0.2">
      <c r="A72" s="196" t="str">
        <f>'(B3) Struktura Funksionale'!A61</f>
        <v>Programi 10b</v>
      </c>
      <c r="B72" s="670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0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0</v>
      </c>
      <c r="E74" s="201">
        <f>SUM(E71:E73)</f>
        <v>0</v>
      </c>
      <c r="F74" s="201">
        <f>SUM(F71:F73)</f>
        <v>0</v>
      </c>
      <c r="G74" s="201">
        <f>SUM(G71:G73)</f>
        <v>0</v>
      </c>
      <c r="H74" s="201">
        <f t="shared" si="33"/>
        <v>0</v>
      </c>
      <c r="I74" s="201">
        <f>SUM(I71:I73)</f>
        <v>0</v>
      </c>
      <c r="J74" s="201">
        <f>SUM(J71:J73)</f>
        <v>0</v>
      </c>
      <c r="K74" s="201">
        <f>SUM(K71:K73)</f>
        <v>0</v>
      </c>
      <c r="L74" s="201">
        <f t="shared" si="34"/>
        <v>0</v>
      </c>
      <c r="M74" s="68">
        <f>SUM(M71:M73)</f>
        <v>0</v>
      </c>
      <c r="N74" s="201">
        <f>SUM(N71:N73)</f>
        <v>0</v>
      </c>
      <c r="O74" s="201">
        <f>SUM(O71:O73)</f>
        <v>0</v>
      </c>
      <c r="P74" s="66">
        <f t="shared" si="31"/>
        <v>0</v>
      </c>
      <c r="Q74" s="66">
        <f t="shared" si="32"/>
        <v>0</v>
      </c>
    </row>
    <row r="75" spans="1:17" ht="24" customHeight="1" x14ac:dyDescent="0.2">
      <c r="A75" s="688" t="str">
        <f>'(B3) Struktura Funksionale'!A63</f>
        <v>Nënfunksioni 11</v>
      </c>
      <c r="B75" s="688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0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 x14ac:dyDescent="0.2">
      <c r="A77" s="196" t="str">
        <f>'(B3) Struktura Funksionale'!A65</f>
        <v>Programi 11b</v>
      </c>
      <c r="B77" s="670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0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 x14ac:dyDescent="0.2">
      <c r="A80" s="688" t="str">
        <f>'(B3) Struktura Funksionale'!A67</f>
        <v>Nënfunksioni 12</v>
      </c>
      <c r="B80" s="688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0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0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0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8" t="str">
        <f>'(B3) Struktura Funksionale'!A71</f>
        <v>Nënfunksioni 13</v>
      </c>
      <c r="B85" s="688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0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0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0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4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5"/>
    </row>
    <row r="91" spans="1:17" ht="22.5" customHeight="1" x14ac:dyDescent="0.2">
      <c r="A91" s="688" t="str">
        <f>'(B3) Struktura Funksionale'!A76</f>
        <v>Nënfunksioni 14</v>
      </c>
      <c r="B91" s="688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0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 x14ac:dyDescent="0.2">
      <c r="A93" s="196" t="str">
        <f>'(B3) Struktura Funksionale'!A78</f>
        <v>Programi 14b</v>
      </c>
      <c r="B93" s="670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0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 x14ac:dyDescent="0.2">
      <c r="A96" s="688" t="str">
        <f>'(B3) Struktura Funksionale'!A80</f>
        <v>Nënfunksioni 15</v>
      </c>
      <c r="B96" s="688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0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0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115169</v>
      </c>
      <c r="E98" s="51">
        <v>151291</v>
      </c>
      <c r="F98" s="51">
        <v>36122</v>
      </c>
      <c r="G98" s="51"/>
      <c r="H98" s="201">
        <f t="shared" si="44"/>
        <v>115169</v>
      </c>
      <c r="I98" s="51">
        <v>151291</v>
      </c>
      <c r="J98" s="51">
        <v>36122</v>
      </c>
      <c r="K98" s="51"/>
      <c r="L98" s="201">
        <f t="shared" si="45"/>
        <v>115169</v>
      </c>
      <c r="M98" s="51">
        <v>151291</v>
      </c>
      <c r="N98" s="51">
        <v>36122</v>
      </c>
      <c r="O98" s="51"/>
      <c r="P98" s="66">
        <f t="shared" si="31"/>
        <v>115169</v>
      </c>
      <c r="Q98" s="66">
        <f t="shared" si="43"/>
        <v>115169</v>
      </c>
    </row>
    <row r="99" spans="1:17" x14ac:dyDescent="0.2">
      <c r="A99" s="196" t="str">
        <f>'(B3) Struktura Funksionale'!A83</f>
        <v>Programi 15c</v>
      </c>
      <c r="B99" s="670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115169</v>
      </c>
      <c r="E100" s="201">
        <f>SUM(E97:E99)</f>
        <v>151291</v>
      </c>
      <c r="F100" s="201">
        <f t="shared" ref="F100:M100" si="46">SUM(F97:F99)</f>
        <v>36122</v>
      </c>
      <c r="G100" s="201">
        <f t="shared" si="46"/>
        <v>0</v>
      </c>
      <c r="H100" s="201">
        <f t="shared" si="44"/>
        <v>115169</v>
      </c>
      <c r="I100" s="201">
        <f t="shared" si="46"/>
        <v>151291</v>
      </c>
      <c r="J100" s="201">
        <f t="shared" si="46"/>
        <v>36122</v>
      </c>
      <c r="K100" s="201">
        <f t="shared" si="46"/>
        <v>0</v>
      </c>
      <c r="L100" s="201">
        <f t="shared" si="45"/>
        <v>115169</v>
      </c>
      <c r="M100" s="201">
        <f t="shared" si="46"/>
        <v>151291</v>
      </c>
      <c r="N100" s="201">
        <f>SUM(N97:N99)</f>
        <v>36122</v>
      </c>
      <c r="O100" s="201">
        <f>SUM(O97:O99)</f>
        <v>0</v>
      </c>
      <c r="P100" s="66">
        <f t="shared" si="31"/>
        <v>115169</v>
      </c>
      <c r="Q100" s="66">
        <f t="shared" si="43"/>
        <v>115169</v>
      </c>
    </row>
    <row r="101" spans="1:17" ht="23.25" customHeight="1" x14ac:dyDescent="0.2">
      <c r="A101" s="688" t="str">
        <f>'(B3) Struktura Funksionale'!A84</f>
        <v>Nënfunksioni 16</v>
      </c>
      <c r="B101" s="688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0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0</v>
      </c>
      <c r="E102" s="203"/>
      <c r="F102" s="203"/>
      <c r="G102" s="203"/>
      <c r="H102" s="201">
        <f t="shared" ref="H102:H105" si="47">+I102-J102-K102</f>
        <v>0</v>
      </c>
      <c r="I102" s="203"/>
      <c r="J102" s="203"/>
      <c r="K102" s="203"/>
      <c r="L102" s="201">
        <f t="shared" ref="L102:L105" si="48">+M102-N102-O102</f>
        <v>0</v>
      </c>
      <c r="M102" s="203"/>
      <c r="N102" s="203"/>
      <c r="O102" s="203"/>
      <c r="P102" s="66">
        <f t="shared" si="31"/>
        <v>0</v>
      </c>
      <c r="Q102" s="66">
        <f t="shared" si="43"/>
        <v>0</v>
      </c>
    </row>
    <row r="103" spans="1:17" x14ac:dyDescent="0.2">
      <c r="A103" s="196" t="str">
        <f>'(B3) Struktura Funksionale'!A86</f>
        <v>Programi 16b</v>
      </c>
      <c r="B103" s="670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0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0</v>
      </c>
      <c r="E105" s="68">
        <f>SUM(E102:E104)</f>
        <v>0</v>
      </c>
      <c r="F105" s="68">
        <f>SUM(F102:F104)</f>
        <v>0</v>
      </c>
      <c r="G105" s="68">
        <f>SUM(G102:G104)</f>
        <v>0</v>
      </c>
      <c r="H105" s="201">
        <f t="shared" si="47"/>
        <v>0</v>
      </c>
      <c r="I105" s="68">
        <f>SUM(I102:I104)</f>
        <v>0</v>
      </c>
      <c r="J105" s="68">
        <f>SUM(J102:J104)</f>
        <v>0</v>
      </c>
      <c r="K105" s="68">
        <f>SUM(K102:K104)</f>
        <v>0</v>
      </c>
      <c r="L105" s="201">
        <f t="shared" si="48"/>
        <v>0</v>
      </c>
      <c r="M105" s="68">
        <f>SUM(M102:M104)</f>
        <v>0</v>
      </c>
      <c r="N105" s="68">
        <f>SUM(N102:N104)</f>
        <v>0</v>
      </c>
      <c r="O105" s="68">
        <f>SUM(O102:O104)</f>
        <v>0</v>
      </c>
      <c r="P105" s="66">
        <f t="shared" si="49"/>
        <v>0</v>
      </c>
      <c r="Q105" s="66">
        <f t="shared" si="43"/>
        <v>0</v>
      </c>
    </row>
    <row r="106" spans="1:17" ht="21.75" customHeight="1" x14ac:dyDescent="0.2">
      <c r="A106" s="688" t="str">
        <f>'(B3) Struktura Funksionale'!A88</f>
        <v>Nënfunksioni 17</v>
      </c>
      <c r="B106" s="688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0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0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0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4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5"/>
    </row>
    <row r="112" spans="1:17" ht="21.75" customHeight="1" x14ac:dyDescent="0.2">
      <c r="A112" s="688" t="str">
        <f>'(B3) Struktura Funksionale'!A93</f>
        <v>Nënfunksioni 18</v>
      </c>
      <c r="B112" s="688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0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0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0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4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5"/>
    </row>
    <row r="118" spans="1:17" ht="24.75" customHeight="1" x14ac:dyDescent="0.2">
      <c r="A118" s="688" t="str">
        <f>'(B3) Struktura Funksionale'!A98</f>
        <v>Nënfunksioni 19</v>
      </c>
      <c r="B118" s="688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0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0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5480</v>
      </c>
      <c r="E120" s="51">
        <f>6099+7903</f>
        <v>14002</v>
      </c>
      <c r="F120" s="51">
        <f>6710+1812</f>
        <v>8522</v>
      </c>
      <c r="G120" s="51"/>
      <c r="H120" s="201">
        <f t="shared" si="54"/>
        <v>5480</v>
      </c>
      <c r="I120" s="51">
        <f>6099+7903</f>
        <v>14002</v>
      </c>
      <c r="J120" s="51">
        <f>6710+1812</f>
        <v>8522</v>
      </c>
      <c r="K120" s="51"/>
      <c r="L120" s="201">
        <f t="shared" si="55"/>
        <v>5480</v>
      </c>
      <c r="M120" s="51">
        <f>6099+7903</f>
        <v>14002</v>
      </c>
      <c r="N120" s="51">
        <f>6710+1812</f>
        <v>8522</v>
      </c>
      <c r="O120" s="51"/>
      <c r="P120" s="66">
        <f t="shared" si="49"/>
        <v>5480</v>
      </c>
      <c r="Q120" s="66">
        <f t="shared" si="43"/>
        <v>5480</v>
      </c>
    </row>
    <row r="121" spans="1:17" x14ac:dyDescent="0.2">
      <c r="A121" s="196" t="str">
        <f>'(B3) Struktura Funksionale'!A101</f>
        <v>Programi 19c</v>
      </c>
      <c r="B121" s="670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5480</v>
      </c>
      <c r="E122" s="201">
        <f>SUM(E119:E121)</f>
        <v>14002</v>
      </c>
      <c r="F122" s="201">
        <f>SUM(F119:F121)</f>
        <v>8522</v>
      </c>
      <c r="G122" s="201">
        <f>SUM(G119:G121)</f>
        <v>0</v>
      </c>
      <c r="H122" s="201">
        <f t="shared" si="54"/>
        <v>5480</v>
      </c>
      <c r="I122" s="201">
        <f>SUM(I119:I121)</f>
        <v>14002</v>
      </c>
      <c r="J122" s="201">
        <f>SUM(J119:J121)</f>
        <v>8522</v>
      </c>
      <c r="K122" s="201">
        <f>SUM(K119:K121)</f>
        <v>0</v>
      </c>
      <c r="L122" s="201">
        <f t="shared" si="55"/>
        <v>5480</v>
      </c>
      <c r="M122" s="201">
        <f>SUM(M119:M121)</f>
        <v>14002</v>
      </c>
      <c r="N122" s="201">
        <f>SUM(N119:N121)</f>
        <v>8522</v>
      </c>
      <c r="O122" s="201">
        <f>SUM(O119:O121)</f>
        <v>0</v>
      </c>
      <c r="P122" s="66">
        <f t="shared" si="49"/>
        <v>5480</v>
      </c>
      <c r="Q122" s="66">
        <f t="shared" si="43"/>
        <v>5480</v>
      </c>
    </row>
    <row r="123" spans="1:17" ht="21" customHeight="1" x14ac:dyDescent="0.2">
      <c r="A123" s="688" t="str">
        <f>'(B3) Struktura Funksionale'!A102</f>
        <v>Nënfunksioni 20</v>
      </c>
      <c r="B123" s="688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x14ac:dyDescent="0.2">
      <c r="A124" s="196" t="str">
        <f>'(B3) Struktura Funksionale'!A103</f>
        <v>Programi 20a</v>
      </c>
      <c r="B124" s="670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0</v>
      </c>
      <c r="E124" s="203">
        <v>15896</v>
      </c>
      <c r="F124" s="203">
        <f>3977+1294</f>
        <v>5271</v>
      </c>
      <c r="G124" s="203">
        <v>10625</v>
      </c>
      <c r="H124" s="201">
        <f t="shared" ref="H124:H128" si="58">+I124-J124-K124</f>
        <v>0</v>
      </c>
      <c r="I124" s="203">
        <v>15896</v>
      </c>
      <c r="J124" s="203">
        <f>3977+1294</f>
        <v>5271</v>
      </c>
      <c r="K124" s="203">
        <v>10625</v>
      </c>
      <c r="L124" s="201">
        <f t="shared" ref="L124:L128" si="59">+M124-N124-O124</f>
        <v>0</v>
      </c>
      <c r="M124" s="203">
        <v>15896</v>
      </c>
      <c r="N124" s="203">
        <f>3977+1294</f>
        <v>5271</v>
      </c>
      <c r="O124" s="203">
        <v>10625</v>
      </c>
      <c r="P124" s="66">
        <f t="shared" si="49"/>
        <v>0</v>
      </c>
      <c r="Q124" s="66">
        <f t="shared" si="43"/>
        <v>0</v>
      </c>
    </row>
    <row r="125" spans="1:17" hidden="1" x14ac:dyDescent="0.2">
      <c r="A125" s="196" t="str">
        <f>'(B3) Struktura Funksionale'!A104</f>
        <v>Programi 20b</v>
      </c>
      <c r="B125" s="670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0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0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0</v>
      </c>
      <c r="E128" s="201">
        <f>SUM(E124:E127)</f>
        <v>15896</v>
      </c>
      <c r="F128" s="201">
        <f t="shared" ref="F128:G128" si="60">SUM(F124:F127)</f>
        <v>5271</v>
      </c>
      <c r="G128" s="201">
        <f t="shared" si="60"/>
        <v>10625</v>
      </c>
      <c r="H128" s="201">
        <f t="shared" si="58"/>
        <v>0</v>
      </c>
      <c r="I128" s="201">
        <f>SUM(I124:I127)</f>
        <v>15896</v>
      </c>
      <c r="J128" s="201">
        <f t="shared" ref="J128:K128" si="61">SUM(J124:J127)</f>
        <v>5271</v>
      </c>
      <c r="K128" s="201">
        <f t="shared" si="61"/>
        <v>10625</v>
      </c>
      <c r="L128" s="201">
        <f t="shared" si="59"/>
        <v>0</v>
      </c>
      <c r="M128" s="201">
        <f>SUM(M124:M127)</f>
        <v>15896</v>
      </c>
      <c r="N128" s="201">
        <f t="shared" ref="N128:O128" si="62">SUM(N124:N127)</f>
        <v>5271</v>
      </c>
      <c r="O128" s="201">
        <f t="shared" si="62"/>
        <v>10625</v>
      </c>
    </row>
    <row r="129" spans="1:17" s="240" customFormat="1" ht="19.5" thickBot="1" x14ac:dyDescent="0.35">
      <c r="A129" s="714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5"/>
    </row>
    <row r="130" spans="1:17" ht="22.5" customHeight="1" x14ac:dyDescent="0.2">
      <c r="A130" s="688" t="str">
        <f>'(B3) Struktura Funksionale'!A108</f>
        <v>Nënfunksioni 21</v>
      </c>
      <c r="B130" s="688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0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0</v>
      </c>
      <c r="E131" s="203">
        <v>136432</v>
      </c>
      <c r="F131" s="203"/>
      <c r="G131" s="203">
        <v>136432</v>
      </c>
      <c r="H131" s="201">
        <f t="shared" ref="H131:H135" si="63">+I131-J131-K131</f>
        <v>0</v>
      </c>
      <c r="I131" s="203">
        <v>136432</v>
      </c>
      <c r="J131" s="203"/>
      <c r="K131" s="203">
        <v>136432</v>
      </c>
      <c r="L131" s="201">
        <f t="shared" ref="L131:L135" si="64">+M131-N131-O131</f>
        <v>0</v>
      </c>
      <c r="M131" s="203">
        <v>136432</v>
      </c>
      <c r="N131" s="203"/>
      <c r="O131" s="203">
        <v>136432</v>
      </c>
      <c r="P131" s="66">
        <f>I131-J131-K131</f>
        <v>0</v>
      </c>
      <c r="Q131" s="66">
        <f t="shared" si="43"/>
        <v>0</v>
      </c>
    </row>
    <row r="132" spans="1:17" hidden="1" x14ac:dyDescent="0.2">
      <c r="A132" s="196" t="str">
        <f>'(B3) Struktura Funksionale'!A110</f>
        <v>Programi 21b</v>
      </c>
      <c r="B132" s="670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0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0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0</v>
      </c>
      <c r="E135" s="201">
        <f>SUM(E131:E134)</f>
        <v>136432</v>
      </c>
      <c r="F135" s="201">
        <f t="shared" ref="F135:O135" si="65">SUM(F131:F134)</f>
        <v>0</v>
      </c>
      <c r="G135" s="201">
        <f t="shared" si="65"/>
        <v>136432</v>
      </c>
      <c r="H135" s="201">
        <f t="shared" si="63"/>
        <v>0</v>
      </c>
      <c r="I135" s="201">
        <f t="shared" si="65"/>
        <v>136432</v>
      </c>
      <c r="J135" s="201">
        <f t="shared" si="65"/>
        <v>0</v>
      </c>
      <c r="K135" s="201">
        <f t="shared" si="65"/>
        <v>136432</v>
      </c>
      <c r="L135" s="201">
        <f t="shared" si="64"/>
        <v>0</v>
      </c>
      <c r="M135" s="201">
        <f t="shared" si="65"/>
        <v>136432</v>
      </c>
      <c r="N135" s="201">
        <f t="shared" si="65"/>
        <v>0</v>
      </c>
      <c r="O135" s="201">
        <f t="shared" si="65"/>
        <v>136432</v>
      </c>
      <c r="P135" s="66">
        <f>I135-J135-K135</f>
        <v>0</v>
      </c>
      <c r="Q135" s="66">
        <f t="shared" si="43"/>
        <v>0</v>
      </c>
    </row>
    <row r="136" spans="1:17" ht="24" customHeight="1" x14ac:dyDescent="0.2">
      <c r="A136" s="688" t="str">
        <f>'(B3) Struktura Funksionale'!A113</f>
        <v>Nënfunksioni 22</v>
      </c>
      <c r="B136" s="688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0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0</v>
      </c>
      <c r="E137" s="203">
        <v>7896</v>
      </c>
      <c r="F137" s="203"/>
      <c r="G137" s="203">
        <v>7896</v>
      </c>
      <c r="H137" s="201">
        <f t="shared" ref="H137:H141" si="66">+I137-J137-K137</f>
        <v>0</v>
      </c>
      <c r="I137" s="203">
        <v>7896</v>
      </c>
      <c r="J137" s="203"/>
      <c r="K137" s="203">
        <v>7896</v>
      </c>
      <c r="L137" s="201">
        <f t="shared" ref="L137:L141" si="67">+M137-N137-O137</f>
        <v>0</v>
      </c>
      <c r="M137" s="203">
        <v>7896</v>
      </c>
      <c r="N137" s="203"/>
      <c r="O137" s="203">
        <v>7896</v>
      </c>
      <c r="P137" s="66">
        <f>I137-J137-K137</f>
        <v>0</v>
      </c>
      <c r="Q137" s="66">
        <f t="shared" si="43"/>
        <v>0</v>
      </c>
    </row>
    <row r="138" spans="1:17" hidden="1" x14ac:dyDescent="0.2">
      <c r="A138" s="196" t="str">
        <f>'(B3) Struktura Funksionale'!A115</f>
        <v>Programi 22b</v>
      </c>
      <c r="B138" s="670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0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>
        <v>22964</v>
      </c>
      <c r="F139" s="51"/>
      <c r="G139" s="51">
        <v>22964</v>
      </c>
      <c r="H139" s="201">
        <f t="shared" si="66"/>
        <v>0</v>
      </c>
      <c r="I139" s="51">
        <v>22964</v>
      </c>
      <c r="J139" s="51"/>
      <c r="K139" s="51">
        <v>22964</v>
      </c>
      <c r="L139" s="201">
        <f t="shared" si="67"/>
        <v>0</v>
      </c>
      <c r="M139" s="51">
        <v>22964</v>
      </c>
      <c r="N139" s="51"/>
      <c r="O139" s="51">
        <v>22964</v>
      </c>
      <c r="P139" s="66">
        <f>I139-J139-K139</f>
        <v>0</v>
      </c>
      <c r="Q139" s="66">
        <f t="shared" si="43"/>
        <v>0</v>
      </c>
    </row>
    <row r="140" spans="1:17" x14ac:dyDescent="0.2">
      <c r="A140" s="196" t="str">
        <f>'(B3) Struktura Funksionale'!A117</f>
        <v>Programi 22d</v>
      </c>
      <c r="B140" s="670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0</v>
      </c>
      <c r="E141" s="68">
        <f>SUM(E137:E140)</f>
        <v>30860</v>
      </c>
      <c r="F141" s="68">
        <f t="shared" ref="F141:O141" si="68">SUM(F137:F140)</f>
        <v>0</v>
      </c>
      <c r="G141" s="68">
        <f t="shared" si="68"/>
        <v>30860</v>
      </c>
      <c r="H141" s="68">
        <f t="shared" si="66"/>
        <v>0</v>
      </c>
      <c r="I141" s="68">
        <f t="shared" si="68"/>
        <v>30860</v>
      </c>
      <c r="J141" s="68">
        <f t="shared" si="68"/>
        <v>0</v>
      </c>
      <c r="K141" s="68">
        <f t="shared" si="68"/>
        <v>30860</v>
      </c>
      <c r="L141" s="68">
        <f t="shared" si="67"/>
        <v>0</v>
      </c>
      <c r="M141" s="68">
        <f t="shared" si="68"/>
        <v>30860</v>
      </c>
      <c r="N141" s="68">
        <f t="shared" si="68"/>
        <v>0</v>
      </c>
      <c r="O141" s="68">
        <f t="shared" si="68"/>
        <v>30860</v>
      </c>
      <c r="P141" s="66">
        <f t="shared" ref="P141:P177" si="69">I141-J141-K141</f>
        <v>0</v>
      </c>
      <c r="Q141" s="66">
        <f t="shared" si="43"/>
        <v>0</v>
      </c>
    </row>
    <row r="142" spans="1:17" ht="24.75" hidden="1" customHeight="1" x14ac:dyDescent="0.2">
      <c r="A142" s="688" t="e">
        <f>'(B3) Struktura Funksionale'!A118</f>
        <v>#REF!</v>
      </c>
      <c r="B142" s="688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7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0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0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0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4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5"/>
    </row>
    <row r="148" spans="1:17" ht="24" customHeight="1" x14ac:dyDescent="0.2">
      <c r="A148" s="688" t="str">
        <f>'(B3) Struktura Funksionale'!A123</f>
        <v>Nënfunksioni 23</v>
      </c>
      <c r="B148" s="688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0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>
        <f>360479</f>
        <v>360479</v>
      </c>
      <c r="F149" s="203"/>
      <c r="G149" s="203">
        <v>360479</v>
      </c>
      <c r="H149" s="201">
        <f t="shared" ref="H149:H152" si="74">+I149-J149-K149</f>
        <v>194227</v>
      </c>
      <c r="I149" s="203">
        <f>360479+194227</f>
        <v>554706</v>
      </c>
      <c r="J149" s="203"/>
      <c r="K149" s="203">
        <v>360479</v>
      </c>
      <c r="L149" s="201">
        <f t="shared" ref="L149:L152" si="75">+M149-N149-O149</f>
        <v>238255</v>
      </c>
      <c r="M149" s="203">
        <f>360479+238255</f>
        <v>598734</v>
      </c>
      <c r="N149" s="203"/>
      <c r="O149" s="203">
        <v>360479</v>
      </c>
      <c r="P149" s="66">
        <f t="shared" si="69"/>
        <v>194227</v>
      </c>
      <c r="Q149" s="66">
        <f t="shared" si="73"/>
        <v>238255</v>
      </c>
    </row>
    <row r="150" spans="1:17" x14ac:dyDescent="0.2">
      <c r="A150" s="196" t="str">
        <f>'(B3) Struktura Funksionale'!A125</f>
        <v>Programi 24b</v>
      </c>
      <c r="B150" s="670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0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0</v>
      </c>
      <c r="E152" s="201">
        <f>SUM(E149:E151)</f>
        <v>360479</v>
      </c>
      <c r="F152" s="201">
        <f>SUM(F149:F151)</f>
        <v>0</v>
      </c>
      <c r="G152" s="201">
        <f>SUM(G149:G151)</f>
        <v>360479</v>
      </c>
      <c r="H152" s="201">
        <f t="shared" si="74"/>
        <v>194227</v>
      </c>
      <c r="I152" s="201">
        <f>SUM(I149:I151)</f>
        <v>554706</v>
      </c>
      <c r="J152" s="201">
        <f>SUM(J149:J151)</f>
        <v>0</v>
      </c>
      <c r="K152" s="201">
        <f>SUM(K149:K151)</f>
        <v>360479</v>
      </c>
      <c r="L152" s="201">
        <f t="shared" si="75"/>
        <v>238255</v>
      </c>
      <c r="M152" s="201">
        <f>SUM(M149:M151)</f>
        <v>598734</v>
      </c>
      <c r="N152" s="201">
        <f>SUM(N149:N151)</f>
        <v>0</v>
      </c>
      <c r="O152" s="201">
        <f>SUM(O149:O151)</f>
        <v>360479</v>
      </c>
      <c r="P152" s="66">
        <f t="shared" si="69"/>
        <v>194227</v>
      </c>
      <c r="Q152" s="66">
        <f t="shared" ref="Q152:Q156" si="76">M152-N152-O152</f>
        <v>238255</v>
      </c>
    </row>
    <row r="153" spans="1:17" ht="21.75" customHeight="1" x14ac:dyDescent="0.2">
      <c r="A153" s="688" t="str">
        <f>'(B3) Struktura Funksionale'!A127</f>
        <v>Nënfunksioni 24</v>
      </c>
      <c r="B153" s="688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0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0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0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8" t="str">
        <f>'(B3) Struktura Funksionale'!A131</f>
        <v>Nënfunksioni 25</v>
      </c>
      <c r="B158" s="688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0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>
        <f>20244+122822</f>
        <v>143066</v>
      </c>
      <c r="F159" s="203"/>
      <c r="G159" s="203">
        <v>143066</v>
      </c>
      <c r="H159" s="201">
        <f t="shared" ref="H159:H162" si="80">+I159-J159-K159</f>
        <v>0</v>
      </c>
      <c r="I159" s="203">
        <f>20244+122822</f>
        <v>143066</v>
      </c>
      <c r="J159" s="203"/>
      <c r="K159" s="203">
        <v>143066</v>
      </c>
      <c r="L159" s="201">
        <f t="shared" ref="L159:L162" si="81">+M159-N159-O159</f>
        <v>0</v>
      </c>
      <c r="M159" s="203">
        <f>20244+122822</f>
        <v>143066</v>
      </c>
      <c r="N159" s="203"/>
      <c r="O159" s="203">
        <v>143066</v>
      </c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0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0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0</v>
      </c>
      <c r="E162" s="201">
        <f>SUM(E159:E161)</f>
        <v>143066</v>
      </c>
      <c r="F162" s="201">
        <f>SUM(F159:F161)</f>
        <v>0</v>
      </c>
      <c r="G162" s="201">
        <f>SUM(G159:G161)</f>
        <v>143066</v>
      </c>
      <c r="H162" s="201">
        <f t="shared" si="80"/>
        <v>0</v>
      </c>
      <c r="I162" s="201">
        <f>SUM(I159:I161)</f>
        <v>143066</v>
      </c>
      <c r="J162" s="201">
        <f>SUM(J159:J161)</f>
        <v>0</v>
      </c>
      <c r="K162" s="201">
        <f>SUM(K159:K161)</f>
        <v>143066</v>
      </c>
      <c r="L162" s="201">
        <f t="shared" si="81"/>
        <v>0</v>
      </c>
      <c r="M162" s="201">
        <f>SUM(M159:M161)</f>
        <v>143066</v>
      </c>
      <c r="N162" s="201">
        <f>SUM(N159:N161)</f>
        <v>0</v>
      </c>
      <c r="O162" s="201">
        <f>SUM(O159:O161)</f>
        <v>143066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88" t="str">
        <f>'(B3) Struktura Funksionale'!A135</f>
        <v>Nënfunksioni 26</v>
      </c>
      <c r="B163" s="688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0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0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0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8" t="str">
        <f>'(B3) Struktura Funksionale'!A139</f>
        <v>Nënfunksioni 27</v>
      </c>
      <c r="B168" s="688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2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93947</v>
      </c>
      <c r="E169" s="51">
        <v>414697</v>
      </c>
      <c r="F169" s="51"/>
      <c r="G169" s="51">
        <f>414697-94000+53</f>
        <v>320750</v>
      </c>
      <c r="H169" s="68">
        <f t="shared" ref="H169:H172" si="86">+I169-J169-K169</f>
        <v>93847</v>
      </c>
      <c r="I169" s="51">
        <f>414697-100</f>
        <v>414597</v>
      </c>
      <c r="J169" s="51"/>
      <c r="K169" s="51">
        <f>414697-94000+53</f>
        <v>320750</v>
      </c>
      <c r="L169" s="68">
        <f t="shared" ref="L169:L172" si="87">+M169-N169-O169</f>
        <v>90319</v>
      </c>
      <c r="M169" s="51">
        <v>414697</v>
      </c>
      <c r="N169" s="51"/>
      <c r="O169" s="51">
        <f>414697-94000+53+3628</f>
        <v>324378</v>
      </c>
      <c r="P169" s="66">
        <f t="shared" si="69"/>
        <v>93847</v>
      </c>
      <c r="Q169" s="66">
        <f t="shared" si="85"/>
        <v>90319</v>
      </c>
    </row>
    <row r="170" spans="1:17" x14ac:dyDescent="0.2">
      <c r="A170" s="113" t="str">
        <f>'(B3) Struktura Funksionale'!A141</f>
        <v>Programi 28b</v>
      </c>
      <c r="B170" s="672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2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61"/>
      <c r="B172" s="862"/>
      <c r="C172" s="863"/>
      <c r="D172" s="68">
        <f t="shared" si="57"/>
        <v>93947</v>
      </c>
      <c r="E172" s="68">
        <f>SUM(E169:E171)</f>
        <v>414697</v>
      </c>
      <c r="F172" s="68">
        <f>SUM(F169:F171)</f>
        <v>0</v>
      </c>
      <c r="G172" s="68">
        <f>SUM(G169:G171)</f>
        <v>320750</v>
      </c>
      <c r="H172" s="68">
        <f t="shared" si="86"/>
        <v>93847</v>
      </c>
      <c r="I172" s="68">
        <f>SUM(I169:I171)</f>
        <v>414597</v>
      </c>
      <c r="J172" s="68">
        <f>SUM(J169:J171)</f>
        <v>0</v>
      </c>
      <c r="K172" s="68">
        <f>SUM(K169:K171)</f>
        <v>320750</v>
      </c>
      <c r="L172" s="68">
        <f t="shared" si="87"/>
        <v>90319</v>
      </c>
      <c r="M172" s="68">
        <f>SUM(M169:M171)</f>
        <v>414697</v>
      </c>
      <c r="N172" s="68">
        <f>SUM(N169:N171)</f>
        <v>0</v>
      </c>
      <c r="O172" s="68">
        <f>SUM(O169:O171)</f>
        <v>324378</v>
      </c>
      <c r="P172" s="66">
        <f t="shared" si="69"/>
        <v>93847</v>
      </c>
      <c r="Q172" s="66">
        <f t="shared" ref="Q172:Q176" si="88">M172-N172-O172</f>
        <v>90319</v>
      </c>
    </row>
    <row r="173" spans="1:17" ht="24" hidden="1" customHeight="1" x14ac:dyDescent="0.2">
      <c r="A173" s="688" t="str">
        <f>'(B3) Struktura Funksionale'!A143</f>
        <v>Nënfunksioni 29</v>
      </c>
      <c r="B173" s="688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0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0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0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61" t="str">
        <f>'(G1) Fjalori'!A206</f>
        <v xml:space="preserve">Totali </v>
      </c>
      <c r="B179" s="862"/>
      <c r="C179" s="863"/>
      <c r="D179" s="68">
        <f t="shared" si="57"/>
        <v>424148</v>
      </c>
      <c r="E179" s="68">
        <f t="shared" ref="E179:F179" si="92">E16+E23+E29+E34+E39+E48+E56+E62+E68+E74+E79+E84+E89+E95+E100+E105+E110+E116+E122+E128+E135+E141+E146+E152+E157+E162+E167+E172+E177</f>
        <v>1521488</v>
      </c>
      <c r="F179" s="68">
        <f t="shared" si="92"/>
        <v>95128</v>
      </c>
      <c r="G179" s="68">
        <f>G16+G23+G29+G34+G39+G48+G56+G62+G68+G74+G79+G84+G89+G95+G100+G105+G110+G116+G122+G128+G135+G141+G146+G152+G157+G162+G167+G172+G177</f>
        <v>1002212</v>
      </c>
      <c r="H179" s="68">
        <f t="shared" ref="H179" si="93">+I179-J179-K179</f>
        <v>431981</v>
      </c>
      <c r="I179" s="68">
        <f t="shared" ref="I179:J179" si="94">I16+I23+I29+I34+I39+I48+I56+I62+I68+I74+I79+I84+I89+I95+I100+I105+I110+I116+I122+I128+I135+I141+I146+I152+I157+I162+I167+I172+I177</f>
        <v>1715615</v>
      </c>
      <c r="J179" s="68">
        <f t="shared" si="94"/>
        <v>95128</v>
      </c>
      <c r="K179" s="68">
        <f>K16+K23+K29+K34+K39+K48+K56+K62+K68+K74+K79+K84+K89+K95+K100+K105+K110+K116+K122+K128+K135+K141+K146+K152+K157+K162+K167+K172+K177</f>
        <v>1188506</v>
      </c>
      <c r="L179" s="68">
        <f t="shared" ref="L179" si="95">+M179-N179-O179</f>
        <v>472481</v>
      </c>
      <c r="M179" s="68">
        <f t="shared" ref="M179:N179" si="96">M16+M23+M29+M34+M39+M48+M56+M62+M68+M74+M79+M84+M89+M95+M100+M105+M110+M116+M122+M128+M135+M141+M146+M152+M157+M162+M167+M172+M177</f>
        <v>1759743</v>
      </c>
      <c r="N179" s="68">
        <f t="shared" si="96"/>
        <v>95128</v>
      </c>
      <c r="O179" s="68">
        <f>O16+O23+O29+O34+O39+O48+O56+O62+O68+O74+O79+O84+O89+O95+O100+O105+O110+O116+O122+O128+O135+O141+O146+O152+O157+O162+O167+O172+O177</f>
        <v>1192134</v>
      </c>
    </row>
    <row r="180" spans="1:17" x14ac:dyDescent="0.2">
      <c r="A180" s="547" t="str">
        <f>'(G1) Fjalori'!A207</f>
        <v>Totali I transfertave të kushtëzuara+transfertat specifike+të ardhurat e trashëguara me destinacion</v>
      </c>
      <c r="B180" s="21"/>
      <c r="C180" s="21"/>
      <c r="D180" s="710"/>
      <c r="E180" s="711"/>
      <c r="G180" s="68">
        <f>'(C2) Burimet viti kaluar'!D87+'(C2) Burimet viti kaluar'!D90+'(C2) Burimet viti kaluar'!D96</f>
        <v>1002212</v>
      </c>
      <c r="K180" s="68">
        <f>'(C2) Burimet viti kaluar'!E87+'(C2) Burimet viti kaluar'!E90+'(C2) Burimet viti kaluar'!E96</f>
        <v>1188506</v>
      </c>
      <c r="L180" s="72"/>
      <c r="O180" s="68">
        <f>'(C2) Burimet viti kaluar'!F87+'(C2) Burimet viti kaluar'!F90+'(C2) Burimet viti kaluar'!F96</f>
        <v>1192134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EED6CJtDpibXfgKH59QZcXb4OucVG4g2Ca8jwX0TVJFG+LhIuahMSyIgmI5vy3y3G08TORY0m5ozM1hNG0F0SQ==" saltValue="IjiovOfHf1BweJKkC2GvoQ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1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68" t="str">
        <f>'(G1) Fjalori'!A445</f>
        <v>(F8) SHPENZIMET SIPAS TIPIT TË PROGRAMIT - VLERA BRUTO</v>
      </c>
      <c r="H1" s="1069"/>
      <c r="I1" s="1069"/>
      <c r="J1" s="1069"/>
      <c r="K1" s="1069"/>
      <c r="L1" s="1069"/>
      <c r="M1" s="1070"/>
    </row>
    <row r="2" spans="1:13" s="98" customFormat="1" ht="12.75" x14ac:dyDescent="0.2">
      <c r="A2" s="1071" t="s">
        <v>45</v>
      </c>
      <c r="B2" s="1072"/>
      <c r="C2" s="1072"/>
      <c r="D2" s="1072"/>
      <c r="E2" s="1072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41" t="str">
        <f>'(B3) Struktura Funksionale'!D5</f>
        <v>Programi:  detyrueshme / shtesë</v>
      </c>
      <c r="H3" s="842"/>
      <c r="I3" s="842"/>
      <c r="J3" s="842"/>
      <c r="K3" s="842"/>
      <c r="L3" s="842"/>
      <c r="M3" s="843"/>
    </row>
    <row r="4" spans="1:13" s="325" customFormat="1" ht="12" x14ac:dyDescent="0.2">
      <c r="A4" s="323"/>
      <c r="B4" s="324"/>
      <c r="C4" s="324"/>
      <c r="D4" s="324"/>
      <c r="E4" s="324"/>
      <c r="H4" s="1065" t="str">
        <f>'KB 01'!A69</f>
        <v>SHPENZIME TË PRITSHME</v>
      </c>
      <c r="I4" s="1066"/>
      <c r="J4" s="1066"/>
      <c r="K4" s="1066"/>
      <c r="L4" s="1066"/>
      <c r="M4" s="1067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2019</v>
      </c>
      <c r="I5" s="367">
        <f>'(A1) Titulli'!B40</f>
        <v>2020</v>
      </c>
      <c r="J5" s="367">
        <f>'(A1) Titulli'!B41</f>
        <v>2021</v>
      </c>
      <c r="K5" s="368">
        <f>'(A1) Titulli'!B42</f>
        <v>2022</v>
      </c>
      <c r="L5" s="368">
        <f>'(A1) Titulli'!B43</f>
        <v>2023</v>
      </c>
      <c r="M5" s="368">
        <f>'(A1) Titulli'!B44</f>
        <v>2024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1521488</v>
      </c>
      <c r="I6" s="328">
        <f t="shared" si="0"/>
        <v>1715615</v>
      </c>
      <c r="J6" s="328">
        <f t="shared" si="0"/>
        <v>1759743</v>
      </c>
      <c r="K6" s="331">
        <f t="shared" si="0"/>
        <v>1736771</v>
      </c>
      <c r="L6" s="331">
        <f t="shared" si="0"/>
        <v>1758715</v>
      </c>
      <c r="M6" s="331">
        <f t="shared" si="0"/>
        <v>1786878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1521488</v>
      </c>
      <c r="I8" s="112">
        <f t="shared" ref="I8:M8" si="2">SUM(I6:I7)</f>
        <v>1715615</v>
      </c>
      <c r="J8" s="112">
        <f t="shared" si="2"/>
        <v>1759743</v>
      </c>
      <c r="K8" s="112">
        <f t="shared" si="2"/>
        <v>1736771</v>
      </c>
      <c r="L8" s="112">
        <f t="shared" si="2"/>
        <v>1758715</v>
      </c>
      <c r="M8" s="112">
        <f t="shared" si="2"/>
        <v>1786878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65" t="str">
        <f>'KB 01'!I15</f>
        <v xml:space="preserve">TË ARDHURAT E PRITSHME </v>
      </c>
      <c r="I10" s="1066"/>
      <c r="J10" s="1066"/>
      <c r="K10" s="1066"/>
      <c r="L10" s="1066"/>
      <c r="M10" s="1067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2019</v>
      </c>
      <c r="I11" s="367">
        <f t="shared" ref="I11:M11" si="3">I5</f>
        <v>2020</v>
      </c>
      <c r="J11" s="367">
        <f t="shared" si="3"/>
        <v>2021</v>
      </c>
      <c r="K11" s="368">
        <f t="shared" si="3"/>
        <v>2022</v>
      </c>
      <c r="L11" s="368">
        <f t="shared" si="3"/>
        <v>2023</v>
      </c>
      <c r="M11" s="368">
        <f t="shared" si="3"/>
        <v>2024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1097340</v>
      </c>
      <c r="I12" s="328">
        <f>SUMIF($S$59:$S$260,$G$6,AC$59:AC$260)</f>
        <v>1283634</v>
      </c>
      <c r="J12" s="328">
        <f>SUMIF($S$59:$S$260,$G$6,AD$59:AD$260)</f>
        <v>1287262</v>
      </c>
      <c r="K12" s="331">
        <f>SUMIF($S$59:$S$260,$G$6,AE$59:AE$260)</f>
        <v>0</v>
      </c>
      <c r="L12" s="331">
        <f>SUMIF($S$59:$S$260,$G$6,AF$59:AF$260)</f>
        <v>0</v>
      </c>
      <c r="M12" s="331">
        <f>SUMIF($S$59:$S$260,$G$6,AG$59:AG$260)</f>
        <v>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1097340</v>
      </c>
      <c r="I14" s="112">
        <f t="shared" ref="I14:M14" si="5">SUM(I12:I13)</f>
        <v>1283634</v>
      </c>
      <c r="J14" s="112">
        <f t="shared" si="5"/>
        <v>1287262</v>
      </c>
      <c r="K14" s="112">
        <f t="shared" si="5"/>
        <v>0</v>
      </c>
      <c r="L14" s="112">
        <f t="shared" si="5"/>
        <v>0</v>
      </c>
      <c r="M14" s="112">
        <f t="shared" si="5"/>
        <v>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65" t="str">
        <f>'KB 01'!I127</f>
        <v>SHUMA E KËRKUAR NETO</v>
      </c>
      <c r="I16" s="1066"/>
      <c r="J16" s="1066"/>
      <c r="K16" s="1066"/>
      <c r="L16" s="1066"/>
      <c r="M16" s="1067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2019</v>
      </c>
      <c r="I17" s="367">
        <f t="shared" ref="I17:M17" si="6">I11</f>
        <v>2020</v>
      </c>
      <c r="J17" s="367">
        <f t="shared" si="6"/>
        <v>2021</v>
      </c>
      <c r="K17" s="368">
        <f t="shared" si="6"/>
        <v>2022</v>
      </c>
      <c r="L17" s="368">
        <f t="shared" si="6"/>
        <v>2023</v>
      </c>
      <c r="M17" s="368">
        <f t="shared" si="6"/>
        <v>2024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424148</v>
      </c>
      <c r="I18" s="328">
        <f t="shared" si="7"/>
        <v>431981</v>
      </c>
      <c r="J18" s="328">
        <f t="shared" si="7"/>
        <v>472481</v>
      </c>
      <c r="K18" s="331">
        <f t="shared" si="7"/>
        <v>1736771</v>
      </c>
      <c r="L18" s="331">
        <f t="shared" si="7"/>
        <v>1758715</v>
      </c>
      <c r="M18" s="331">
        <f t="shared" si="7"/>
        <v>1786878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424148</v>
      </c>
      <c r="I20" s="112">
        <f t="shared" ref="I20" si="8">SUM(I18:I19)</f>
        <v>431981</v>
      </c>
      <c r="J20" s="112">
        <f t="shared" ref="J20" si="9">SUM(J18:J19)</f>
        <v>472481</v>
      </c>
      <c r="K20" s="112">
        <f t="shared" ref="K20" si="10">SUM(K18:K19)</f>
        <v>1736771</v>
      </c>
      <c r="L20" s="112">
        <f t="shared" ref="L20" si="11">SUM(L18:L19)</f>
        <v>1758715</v>
      </c>
      <c r="M20" s="112">
        <f t="shared" ref="M20" si="12">SUM(M18:M19)</f>
        <v>1786878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41" t="str">
        <f>'(B3) Struktura Funksionale'!E5</f>
        <v>Programi: I veti / I deleguar / Transferuar</v>
      </c>
      <c r="H24" s="842"/>
      <c r="I24" s="842"/>
      <c r="J24" s="842"/>
      <c r="K24" s="842"/>
      <c r="L24" s="842"/>
      <c r="M24" s="843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65" t="str">
        <f>H4</f>
        <v>SHPENZIME TË PRITSHME</v>
      </c>
      <c r="I25" s="1066"/>
      <c r="J25" s="1066"/>
      <c r="K25" s="1066"/>
      <c r="L25" s="1066"/>
      <c r="M25" s="1067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2019</v>
      </c>
      <c r="I26" s="367">
        <f t="shared" ref="I26:M26" si="13">I5</f>
        <v>2020</v>
      </c>
      <c r="J26" s="367">
        <f t="shared" si="13"/>
        <v>2021</v>
      </c>
      <c r="K26" s="368">
        <f t="shared" si="13"/>
        <v>2022</v>
      </c>
      <c r="L26" s="368">
        <f t="shared" si="13"/>
        <v>2023</v>
      </c>
      <c r="M26" s="368">
        <f t="shared" si="13"/>
        <v>2024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1125837</v>
      </c>
      <c r="I27" s="328">
        <f t="shared" ref="I27:M27" si="14">SUMIF($T$59:$T$260,$G$27,V$59:V$260)</f>
        <v>1319964</v>
      </c>
      <c r="J27" s="328">
        <f t="shared" si="14"/>
        <v>1364092</v>
      </c>
      <c r="K27" s="331">
        <f t="shared" si="14"/>
        <v>1364115</v>
      </c>
      <c r="L27" s="331">
        <f t="shared" si="14"/>
        <v>1373115</v>
      </c>
      <c r="M27" s="331">
        <f t="shared" si="14"/>
        <v>1374223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176061</v>
      </c>
      <c r="I28" s="328">
        <f t="shared" ref="I28:M28" si="15">SUMIF($T$59:$T$260,$G$28,V$59:V$260)</f>
        <v>176061</v>
      </c>
      <c r="J28" s="328">
        <f t="shared" si="15"/>
        <v>176061</v>
      </c>
      <c r="K28" s="331">
        <f t="shared" si="15"/>
        <v>64136</v>
      </c>
      <c r="L28" s="331">
        <f t="shared" si="15"/>
        <v>64080</v>
      </c>
      <c r="M28" s="331">
        <f t="shared" si="15"/>
        <v>64136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219590</v>
      </c>
      <c r="I29" s="328">
        <f t="shared" ref="I29:M29" si="16">SUMIF($T$59:$T$260,$G$29,V$59:V$260)</f>
        <v>219590</v>
      </c>
      <c r="J29" s="328">
        <f t="shared" si="16"/>
        <v>219590</v>
      </c>
      <c r="K29" s="331">
        <f t="shared" si="16"/>
        <v>308520</v>
      </c>
      <c r="L29" s="331">
        <f t="shared" si="16"/>
        <v>321520</v>
      </c>
      <c r="M29" s="331">
        <f t="shared" si="16"/>
        <v>348519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1521488</v>
      </c>
      <c r="I30" s="112">
        <f t="shared" ref="I30:M30" si="17">SUM(I27:I29)</f>
        <v>1715615</v>
      </c>
      <c r="J30" s="112">
        <f t="shared" si="17"/>
        <v>1759743</v>
      </c>
      <c r="K30" s="112">
        <f t="shared" si="17"/>
        <v>1736771</v>
      </c>
      <c r="L30" s="112">
        <f t="shared" si="17"/>
        <v>1758715</v>
      </c>
      <c r="M30" s="112">
        <f t="shared" si="17"/>
        <v>1786878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65" t="str">
        <f>H10</f>
        <v xml:space="preserve">TË ARDHURAT E PRITSHME </v>
      </c>
      <c r="I32" s="1066"/>
      <c r="J32" s="1066"/>
      <c r="K32" s="1066"/>
      <c r="L32" s="1066"/>
      <c r="M32" s="1067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2019</v>
      </c>
      <c r="I33" s="367">
        <f t="shared" ref="I33:M33" si="18">I26</f>
        <v>2020</v>
      </c>
      <c r="J33" s="367">
        <f t="shared" si="18"/>
        <v>2021</v>
      </c>
      <c r="K33" s="368">
        <f t="shared" si="18"/>
        <v>2022</v>
      </c>
      <c r="L33" s="368">
        <f t="shared" si="18"/>
        <v>2023</v>
      </c>
      <c r="M33" s="368">
        <f t="shared" si="18"/>
        <v>2024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779012</v>
      </c>
      <c r="I34" s="328">
        <f t="shared" ref="I34:M34" si="19">SUMIF($T$59:$T$260,$G$34,AC$59:AC$260)</f>
        <v>899012</v>
      </c>
      <c r="J34" s="328">
        <f t="shared" si="19"/>
        <v>902640</v>
      </c>
      <c r="K34" s="331">
        <f t="shared" si="19"/>
        <v>0</v>
      </c>
      <c r="L34" s="331">
        <f t="shared" si="19"/>
        <v>0</v>
      </c>
      <c r="M34" s="331">
        <f t="shared" si="19"/>
        <v>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166030</v>
      </c>
      <c r="I35" s="328">
        <f t="shared" ref="I35:M35" si="20">SUMIF($T$59:$T$260,$G$35,AC$59:AC$260)</f>
        <v>166030</v>
      </c>
      <c r="J35" s="328">
        <f t="shared" si="20"/>
        <v>166030</v>
      </c>
      <c r="K35" s="331">
        <f t="shared" si="20"/>
        <v>0</v>
      </c>
      <c r="L35" s="331">
        <f t="shared" si="20"/>
        <v>0</v>
      </c>
      <c r="M35" s="331">
        <f t="shared" si="20"/>
        <v>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152298</v>
      </c>
      <c r="I36" s="328">
        <f t="shared" ref="I36:M36" si="21">SUMIF($T$59:$T$260,$G$36,AC$59:AC$260)</f>
        <v>218592</v>
      </c>
      <c r="J36" s="328">
        <f t="shared" si="21"/>
        <v>218592</v>
      </c>
      <c r="K36" s="331">
        <f t="shared" si="21"/>
        <v>0</v>
      </c>
      <c r="L36" s="331">
        <f t="shared" si="21"/>
        <v>0</v>
      </c>
      <c r="M36" s="331">
        <f t="shared" si="21"/>
        <v>0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1097340</v>
      </c>
      <c r="I37" s="112">
        <f t="shared" ref="I37" si="22">SUM(I34:I36)</f>
        <v>1283634</v>
      </c>
      <c r="J37" s="112">
        <f t="shared" ref="J37" si="23">SUM(J34:J36)</f>
        <v>1287262</v>
      </c>
      <c r="K37" s="112">
        <f t="shared" ref="K37" si="24">SUM(K34:K36)</f>
        <v>0</v>
      </c>
      <c r="L37" s="112">
        <f t="shared" ref="L37" si="25">SUM(L34:L36)</f>
        <v>0</v>
      </c>
      <c r="M37" s="112">
        <f t="shared" ref="M37" si="26">SUM(M34:M36)</f>
        <v>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65" t="str">
        <f>H16</f>
        <v>SHUMA E KËRKUAR NETO</v>
      </c>
      <c r="I39" s="1066"/>
      <c r="J39" s="1066"/>
      <c r="K39" s="1066"/>
      <c r="L39" s="1066"/>
      <c r="M39" s="1067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2019</v>
      </c>
      <c r="I40" s="367">
        <f t="shared" ref="I40:M40" si="27">I33</f>
        <v>2020</v>
      </c>
      <c r="J40" s="367">
        <f t="shared" si="27"/>
        <v>2021</v>
      </c>
      <c r="K40" s="368">
        <f t="shared" si="27"/>
        <v>2022</v>
      </c>
      <c r="L40" s="368">
        <f t="shared" si="27"/>
        <v>2023</v>
      </c>
      <c r="M40" s="368">
        <f t="shared" si="27"/>
        <v>2024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346825</v>
      </c>
      <c r="I41" s="328">
        <f t="shared" ref="I41:M41" si="28">I27-I34</f>
        <v>420952</v>
      </c>
      <c r="J41" s="328">
        <f t="shared" si="28"/>
        <v>461452</v>
      </c>
      <c r="K41" s="331">
        <f t="shared" si="28"/>
        <v>1364115</v>
      </c>
      <c r="L41" s="331">
        <f t="shared" si="28"/>
        <v>1373115</v>
      </c>
      <c r="M41" s="331">
        <f t="shared" si="28"/>
        <v>1374223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10031</v>
      </c>
      <c r="I42" s="328">
        <f t="shared" si="29"/>
        <v>10031</v>
      </c>
      <c r="J42" s="328">
        <f t="shared" si="29"/>
        <v>10031</v>
      </c>
      <c r="K42" s="331">
        <f t="shared" si="29"/>
        <v>64136</v>
      </c>
      <c r="L42" s="331">
        <f t="shared" si="29"/>
        <v>64080</v>
      </c>
      <c r="M42" s="331">
        <f t="shared" si="29"/>
        <v>64136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67292</v>
      </c>
      <c r="I43" s="328">
        <f t="shared" si="29"/>
        <v>998</v>
      </c>
      <c r="J43" s="328">
        <f t="shared" si="29"/>
        <v>998</v>
      </c>
      <c r="K43" s="331">
        <f t="shared" si="29"/>
        <v>308520</v>
      </c>
      <c r="L43" s="331">
        <f t="shared" si="29"/>
        <v>321520</v>
      </c>
      <c r="M43" s="331">
        <f t="shared" si="29"/>
        <v>348519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424148</v>
      </c>
      <c r="I44" s="112">
        <f t="shared" ref="I44" si="30">SUM(I41:I43)</f>
        <v>431981</v>
      </c>
      <c r="J44" s="112">
        <f t="shared" ref="J44" si="31">SUM(J41:J43)</f>
        <v>472481</v>
      </c>
      <c r="K44" s="112">
        <f t="shared" ref="K44" si="32">SUM(K41:K43)</f>
        <v>1736771</v>
      </c>
      <c r="L44" s="112">
        <f t="shared" ref="L44" si="33">SUM(L41:L43)</f>
        <v>1758715</v>
      </c>
      <c r="M44" s="112">
        <f t="shared" ref="M44" si="34">SUM(M41:M43)</f>
        <v>1786878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2019</v>
      </c>
      <c r="V57" s="475">
        <f>'KB 01'!C16</f>
        <v>2020</v>
      </c>
      <c r="W57" s="475">
        <f>'KB 01'!D16</f>
        <v>2021</v>
      </c>
      <c r="X57" s="475">
        <f>'KB 01'!E16</f>
        <v>2022</v>
      </c>
      <c r="Y57" s="475">
        <f>'KB 01'!F16</f>
        <v>2023</v>
      </c>
      <c r="Z57" s="475">
        <f>'KB 01'!G16</f>
        <v>2024</v>
      </c>
      <c r="AB57" s="475">
        <f>U57</f>
        <v>2019</v>
      </c>
      <c r="AC57" s="475">
        <f t="shared" ref="AC57:AG57" si="35">V57</f>
        <v>2020</v>
      </c>
      <c r="AD57" s="475">
        <f t="shared" si="35"/>
        <v>2021</v>
      </c>
      <c r="AE57" s="475">
        <f t="shared" si="35"/>
        <v>2022</v>
      </c>
      <c r="AF57" s="475">
        <f t="shared" si="35"/>
        <v>2023</v>
      </c>
      <c r="AG57" s="475">
        <f t="shared" si="35"/>
        <v>2024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169472</v>
      </c>
      <c r="V59" s="473">
        <f>'KB 01'!C$72</f>
        <v>169472</v>
      </c>
      <c r="W59" s="473">
        <f>'KB 01'!D$72</f>
        <v>169472</v>
      </c>
      <c r="X59" s="473">
        <f>'KB 01'!E$72</f>
        <v>197903</v>
      </c>
      <c r="Y59" s="473">
        <f>'KB 01'!F$72</f>
        <v>198903</v>
      </c>
      <c r="Z59" s="473">
        <f>'KB 01'!G$72</f>
        <v>198903</v>
      </c>
      <c r="AB59" s="473">
        <f>'KB 01'!J$82</f>
        <v>37243</v>
      </c>
      <c r="AC59" s="473">
        <f>'KB 01'!K$82</f>
        <v>157243</v>
      </c>
      <c r="AD59" s="473">
        <f>'KB 01'!L$82</f>
        <v>157243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0</v>
      </c>
      <c r="V60" s="471">
        <f>'KB 01'!C$111</f>
        <v>0</v>
      </c>
      <c r="W60" s="471">
        <f>'KB 01'!D$111</f>
        <v>0</v>
      </c>
      <c r="X60" s="471">
        <f>'KB 01'!E$111</f>
        <v>7270</v>
      </c>
      <c r="Y60" s="471">
        <f>'KB 01'!F$111</f>
        <v>7270</v>
      </c>
      <c r="Z60" s="471">
        <f>'KB 01'!G$111</f>
        <v>7270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10031</v>
      </c>
      <c r="V62" s="471">
        <f>'KB 01'!C$189</f>
        <v>10031</v>
      </c>
      <c r="W62" s="471">
        <f>'KB 01'!D$189</f>
        <v>10031</v>
      </c>
      <c r="X62" s="471">
        <f>'KB 01'!E$189</f>
        <v>10000</v>
      </c>
      <c r="Y62" s="471">
        <f>'KB 01'!F$189</f>
        <v>10000</v>
      </c>
      <c r="Z62" s="471">
        <f>'KB 01'!G$189</f>
        <v>10000</v>
      </c>
      <c r="AA62" s="471"/>
      <c r="AB62" s="471">
        <f>'KB 01'!J$199</f>
        <v>0</v>
      </c>
      <c r="AC62" s="471">
        <f>'KB 01'!K$199</f>
        <v>0</v>
      </c>
      <c r="AD62" s="471">
        <f>'KB 01'!L$199</f>
        <v>0</v>
      </c>
      <c r="AE62" s="471">
        <f>'KB 01'!M$199</f>
        <v>0</v>
      </c>
      <c r="AF62" s="471">
        <f>'KB 01'!N$199</f>
        <v>0</v>
      </c>
      <c r="AG62" s="471">
        <f>'KB 01'!O$199</f>
        <v>0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0</v>
      </c>
      <c r="V69" s="471">
        <f>'KB 02'!C$189</f>
        <v>0</v>
      </c>
      <c r="W69" s="471">
        <f>'KB 02'!D$189</f>
        <v>0</v>
      </c>
      <c r="X69" s="471">
        <f>'KB 02'!E$189</f>
        <v>0</v>
      </c>
      <c r="Y69" s="471">
        <f>'KB 02'!F$189</f>
        <v>0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0</v>
      </c>
      <c r="V73" s="473">
        <f>'KB 03'!C$72</f>
        <v>0</v>
      </c>
      <c r="W73" s="473">
        <f>'KB 03'!D$72</f>
        <v>0</v>
      </c>
      <c r="X73" s="473">
        <f>'KB 03'!E$72</f>
        <v>7670</v>
      </c>
      <c r="Y73" s="473">
        <f>'KB 03'!F$72</f>
        <v>7670</v>
      </c>
      <c r="Z73" s="473">
        <f>'KB 03'!G$72</f>
        <v>7670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21298</v>
      </c>
      <c r="V80" s="473">
        <f>'KB 04'!C$72</f>
        <v>21298</v>
      </c>
      <c r="W80" s="473">
        <f>'KB 04'!D$72</f>
        <v>21298</v>
      </c>
      <c r="X80" s="473">
        <f>'KB 04'!E$72</f>
        <v>31430</v>
      </c>
      <c r="Y80" s="473">
        <f>'KB 04'!F$72</f>
        <v>31430</v>
      </c>
      <c r="Z80" s="473">
        <f>'KB 04'!G$72</f>
        <v>31430</v>
      </c>
      <c r="AB80" s="473">
        <f>'KB 04'!J$82</f>
        <v>0</v>
      </c>
      <c r="AC80" s="473">
        <f>'KB 04'!K$82</f>
        <v>20300</v>
      </c>
      <c r="AD80" s="473">
        <f>'KB 04'!L$82</f>
        <v>20300</v>
      </c>
      <c r="AE80" s="473">
        <f>'KB 04'!M$82</f>
        <v>0</v>
      </c>
      <c r="AF80" s="473">
        <f>'KB 04'!N$82</f>
        <v>0</v>
      </c>
      <c r="AG80" s="473">
        <f>'KB 04'!O$82</f>
        <v>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0</v>
      </c>
      <c r="Y81" s="471">
        <f>'KB 04'!F$111</f>
        <v>0</v>
      </c>
      <c r="Z81" s="471">
        <f>'KB 04'!G$111</f>
        <v>0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0</v>
      </c>
      <c r="Y87" s="473">
        <f>'KB 05'!F$72</f>
        <v>0</v>
      </c>
      <c r="Z87" s="473">
        <f>'KB 05'!G$72</f>
        <v>0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0</v>
      </c>
      <c r="V95" s="471">
        <f>'KB 06'!C$111</f>
        <v>0</v>
      </c>
      <c r="W95" s="471">
        <f>'KB 06'!D$111</f>
        <v>0</v>
      </c>
      <c r="X95" s="471">
        <f>'KB 06'!E$111</f>
        <v>1631</v>
      </c>
      <c r="Y95" s="471">
        <f>'KB 06'!F$111</f>
        <v>1631</v>
      </c>
      <c r="Z95" s="471">
        <f>'KB 06'!G$111</f>
        <v>1631</v>
      </c>
      <c r="AA95" s="471"/>
      <c r="AB95" s="471">
        <f>'KB 06'!J$121</f>
        <v>0</v>
      </c>
      <c r="AC95" s="471">
        <f>'KB 06'!K$121</f>
        <v>0</v>
      </c>
      <c r="AD95" s="471">
        <f>'KB 06'!L$121</f>
        <v>0</v>
      </c>
      <c r="AE95" s="471">
        <f>'KB 06'!M$121</f>
        <v>0</v>
      </c>
      <c r="AF95" s="471">
        <f>'KB 06'!N$121</f>
        <v>0</v>
      </c>
      <c r="AG95" s="471">
        <f>'KB 06'!O$121</f>
        <v>0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0</v>
      </c>
      <c r="V101" s="473">
        <f>'KB 07'!C$72</f>
        <v>0</v>
      </c>
      <c r="W101" s="473">
        <f>'KB 07'!D$72</f>
        <v>0</v>
      </c>
      <c r="X101" s="473">
        <f>'KB 07'!E$72</f>
        <v>0</v>
      </c>
      <c r="Y101" s="473">
        <f>'KB 07'!F$72</f>
        <v>0</v>
      </c>
      <c r="Z101" s="473">
        <f>'KB 07'!G$72</f>
        <v>0</v>
      </c>
      <c r="AB101" s="473">
        <f>'KB 07'!J$82</f>
        <v>0</v>
      </c>
      <c r="AC101" s="473">
        <f>'KB 07'!K$82</f>
        <v>0</v>
      </c>
      <c r="AD101" s="473">
        <f>'KB 07'!L$82</f>
        <v>0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15529</v>
      </c>
      <c r="V104" s="471">
        <f>'KB 07'!C$189</f>
        <v>15529</v>
      </c>
      <c r="W104" s="471">
        <f>'KB 07'!D$189</f>
        <v>15529</v>
      </c>
      <c r="X104" s="471">
        <f>'KB 07'!E$189</f>
        <v>17402</v>
      </c>
      <c r="Y104" s="471">
        <f>'KB 07'!F$189</f>
        <v>20402</v>
      </c>
      <c r="Z104" s="471">
        <f>'KB 07'!G$189</f>
        <v>17402</v>
      </c>
      <c r="AA104" s="471"/>
      <c r="AB104" s="471">
        <f>'KB 07'!J$199</f>
        <v>5013</v>
      </c>
      <c r="AC104" s="471">
        <f>'KB 07'!K$199</f>
        <v>15529</v>
      </c>
      <c r="AD104" s="471">
        <f>'KB 07'!L$199</f>
        <v>15529</v>
      </c>
      <c r="AE104" s="471">
        <f>'KB 07'!M$199</f>
        <v>0</v>
      </c>
      <c r="AF104" s="471">
        <f>'KB 07'!N$199</f>
        <v>0</v>
      </c>
      <c r="AG104" s="471">
        <f>'KB 07'!O$199</f>
        <v>0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6853</v>
      </c>
      <c r="V105" s="471">
        <f>'KB 07'!C$228</f>
        <v>6853</v>
      </c>
      <c r="W105" s="471">
        <f>'KB 07'!D$228</f>
        <v>6853</v>
      </c>
      <c r="X105" s="471">
        <f>'KB 07'!E$228</f>
        <v>0</v>
      </c>
      <c r="Y105" s="471">
        <f>'KB 07'!F$228</f>
        <v>0</v>
      </c>
      <c r="Z105" s="471">
        <f>'KB 07'!G$228</f>
        <v>0</v>
      </c>
      <c r="AA105" s="471"/>
      <c r="AB105" s="471">
        <f>'KB 07'!J$238</f>
        <v>0</v>
      </c>
      <c r="AC105" s="471">
        <f>'KB 07'!K$238</f>
        <v>6853</v>
      </c>
      <c r="AD105" s="471">
        <f>'KB 07'!L$238</f>
        <v>6853</v>
      </c>
      <c r="AE105" s="471">
        <f>'KB 07'!M$238</f>
        <v>0</v>
      </c>
      <c r="AF105" s="471">
        <f>'KB 07'!N$238</f>
        <v>0</v>
      </c>
      <c r="AG105" s="471">
        <f>'KB 07'!O$238</f>
        <v>0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31582</v>
      </c>
      <c r="V108" s="473">
        <f>'KB 08'!C$72</f>
        <v>31582</v>
      </c>
      <c r="W108" s="473">
        <f>'KB 08'!D$72</f>
        <v>31582</v>
      </c>
      <c r="X108" s="473">
        <f>'KB 08'!E$72</f>
        <v>88487</v>
      </c>
      <c r="Y108" s="473">
        <f>'KB 08'!F$72</f>
        <v>98487</v>
      </c>
      <c r="Z108" s="473">
        <f>'KB 08'!G$72</f>
        <v>128486</v>
      </c>
      <c r="AB108" s="473">
        <f>'KB 08'!J$82</f>
        <v>2957</v>
      </c>
      <c r="AC108" s="473">
        <f>'KB 08'!K$82</f>
        <v>31582</v>
      </c>
      <c r="AD108" s="473">
        <f>'KB 08'!L$82</f>
        <v>31582</v>
      </c>
      <c r="AE108" s="473">
        <f>'KB 08'!M$82</f>
        <v>0</v>
      </c>
      <c r="AF108" s="473">
        <f>'KB 08'!N$82</f>
        <v>0</v>
      </c>
      <c r="AG108" s="473">
        <f>'KB 08'!O$82</f>
        <v>0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0</v>
      </c>
      <c r="V116" s="471">
        <f>'KB 09'!C$111</f>
        <v>0</v>
      </c>
      <c r="W116" s="471">
        <f>'KB 09'!D$111</f>
        <v>0</v>
      </c>
      <c r="X116" s="471">
        <f>'KB 09'!E$111</f>
        <v>0</v>
      </c>
      <c r="Y116" s="471">
        <f>'KB 09'!F$111</f>
        <v>0</v>
      </c>
      <c r="Z116" s="471">
        <f>'KB 09'!G$111</f>
        <v>0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0</v>
      </c>
      <c r="V122" s="473">
        <f>'KB 10'!C$72</f>
        <v>0</v>
      </c>
      <c r="W122" s="473">
        <f>'KB 10'!D$72</f>
        <v>0</v>
      </c>
      <c r="X122" s="473">
        <f>'KB 10'!E$72</f>
        <v>23610</v>
      </c>
      <c r="Y122" s="473">
        <f>'KB 10'!F$72</f>
        <v>24610</v>
      </c>
      <c r="Z122" s="473">
        <f>'KB 10'!G$72</f>
        <v>24110</v>
      </c>
      <c r="AB122" s="473">
        <f>'KB 10'!J$82</f>
        <v>0</v>
      </c>
      <c r="AC122" s="473">
        <f>'KB 10'!K$82</f>
        <v>0</v>
      </c>
      <c r="AD122" s="473">
        <f>'KB 10'!L$82</f>
        <v>0</v>
      </c>
      <c r="AE122" s="473">
        <f>'KB 10'!M$82</f>
        <v>0</v>
      </c>
      <c r="AF122" s="473">
        <f>'KB 10'!N$82</f>
        <v>0</v>
      </c>
      <c r="AG122" s="473">
        <f>'KB 10'!O$82</f>
        <v>0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0</v>
      </c>
      <c r="V129" s="473">
        <f>'KB 11'!C$72</f>
        <v>0</v>
      </c>
      <c r="W129" s="473">
        <f>'KB 11'!D$72</f>
        <v>0</v>
      </c>
      <c r="X129" s="473">
        <f>'KB 11'!E$72</f>
        <v>0</v>
      </c>
      <c r="Y129" s="473">
        <f>'KB 11'!F$72</f>
        <v>0</v>
      </c>
      <c r="Z129" s="473">
        <f>'KB 11'!G$72</f>
        <v>0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0</v>
      </c>
      <c r="V150" s="473">
        <f>'KB 14'!C$72</f>
        <v>0</v>
      </c>
      <c r="W150" s="473">
        <f>'KB 14'!D$72</f>
        <v>0</v>
      </c>
      <c r="X150" s="473">
        <f>'KB 14'!E$72</f>
        <v>0</v>
      </c>
      <c r="Y150" s="473">
        <f>'KB 14'!F$72</f>
        <v>0</v>
      </c>
      <c r="Z150" s="473">
        <f>'KB 14'!G$72</f>
        <v>0</v>
      </c>
      <c r="AB150" s="473">
        <f>'KB 14'!J$82</f>
        <v>0</v>
      </c>
      <c r="AC150" s="473">
        <f>'KB 14'!K$82</f>
        <v>0</v>
      </c>
      <c r="AD150" s="473">
        <f>'KB 14'!L$82</f>
        <v>0</v>
      </c>
      <c r="AE150" s="473">
        <f>'KB 14'!M$82</f>
        <v>0</v>
      </c>
      <c r="AF150" s="473">
        <f>'KB 14'!N$82</f>
        <v>0</v>
      </c>
      <c r="AG150" s="473">
        <f>'KB 14'!O$82</f>
        <v>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0</v>
      </c>
      <c r="W152" s="471">
        <f>'KB 14'!D$150</f>
        <v>0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0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151291</v>
      </c>
      <c r="V158" s="471">
        <f>'KB 15'!C$111</f>
        <v>151291</v>
      </c>
      <c r="W158" s="471">
        <f>'KB 15'!D$111</f>
        <v>151291</v>
      </c>
      <c r="X158" s="471">
        <f>'KB 15'!E$111</f>
        <v>165101</v>
      </c>
      <c r="Y158" s="471">
        <f>'KB 15'!F$111</f>
        <v>165101</v>
      </c>
      <c r="Z158" s="471">
        <f>'KB 15'!G$111</f>
        <v>171101</v>
      </c>
      <c r="AA158" s="471"/>
      <c r="AB158" s="471">
        <f>'KB 15'!J$121</f>
        <v>36122</v>
      </c>
      <c r="AC158" s="471">
        <f>'KB 15'!K$121</f>
        <v>36122</v>
      </c>
      <c r="AD158" s="471">
        <f>'KB 15'!L$121</f>
        <v>36122</v>
      </c>
      <c r="AE158" s="471">
        <f>'KB 15'!M$121</f>
        <v>0</v>
      </c>
      <c r="AF158" s="471">
        <f>'KB 15'!N$121</f>
        <v>0</v>
      </c>
      <c r="AG158" s="471">
        <f>'KB 15'!O$121</f>
        <v>0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0</v>
      </c>
      <c r="V164" s="473">
        <f>'KB 16'!C$72</f>
        <v>0</v>
      </c>
      <c r="W164" s="473">
        <f>'KB 16'!D$72</f>
        <v>0</v>
      </c>
      <c r="X164" s="473">
        <f>'KB 16'!E$72</f>
        <v>0</v>
      </c>
      <c r="Y164" s="473">
        <f>'KB 16'!F$72</f>
        <v>0</v>
      </c>
      <c r="Z164" s="473">
        <f>'KB 16'!G$72</f>
        <v>0</v>
      </c>
      <c r="AB164" s="473">
        <f>'KB 16'!J$82</f>
        <v>0</v>
      </c>
      <c r="AC164" s="473">
        <f>'KB 16'!K$82</f>
        <v>0</v>
      </c>
      <c r="AD164" s="473">
        <f>'KB 16'!L$82</f>
        <v>0</v>
      </c>
      <c r="AE164" s="473">
        <f>'KB 16'!M$82</f>
        <v>0</v>
      </c>
      <c r="AF164" s="473">
        <f>'KB 16'!N$82</f>
        <v>0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0</v>
      </c>
      <c r="V171" s="473">
        <f>'KB 17'!C$72</f>
        <v>0</v>
      </c>
      <c r="W171" s="473">
        <f>'KB 17'!D$72</f>
        <v>0</v>
      </c>
      <c r="X171" s="473">
        <f>'KB 17'!E$72</f>
        <v>11970</v>
      </c>
      <c r="Y171" s="473">
        <f>'KB 17'!F$72</f>
        <v>13970</v>
      </c>
      <c r="Z171" s="473">
        <f>'KB 17'!G$72</f>
        <v>13170</v>
      </c>
      <c r="AB171" s="473">
        <f>'KB 17'!J$82</f>
        <v>0</v>
      </c>
      <c r="AC171" s="473">
        <f>'KB 17'!K$82</f>
        <v>0</v>
      </c>
      <c r="AD171" s="473">
        <f>'KB 17'!L$82</f>
        <v>0</v>
      </c>
      <c r="AE171" s="473">
        <f>'KB 17'!M$82</f>
        <v>0</v>
      </c>
      <c r="AF171" s="473">
        <f>'KB 17'!N$82</f>
        <v>0</v>
      </c>
      <c r="AG171" s="473">
        <f>'KB 17'!O$82</f>
        <v>0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24530</v>
      </c>
      <c r="Y178" s="473">
        <f>'KB 18'!F$72</f>
        <v>24530</v>
      </c>
      <c r="Z178" s="473">
        <f>'KB 18'!G$72</f>
        <v>24530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14002</v>
      </c>
      <c r="V186" s="471">
        <f>'KB 19'!C$111</f>
        <v>14002</v>
      </c>
      <c r="W186" s="471">
        <f>'KB 19'!D$111</f>
        <v>14002</v>
      </c>
      <c r="X186" s="471">
        <f>'KB 19'!E$111</f>
        <v>28076</v>
      </c>
      <c r="Y186" s="471">
        <f>'KB 19'!F$111</f>
        <v>28076</v>
      </c>
      <c r="Z186" s="471">
        <f>'KB 19'!G$111</f>
        <v>28076</v>
      </c>
      <c r="AA186" s="471"/>
      <c r="AB186" s="471">
        <f>'KB 19'!J$121</f>
        <v>8522</v>
      </c>
      <c r="AC186" s="471">
        <f>'KB 19'!K$121</f>
        <v>8522</v>
      </c>
      <c r="AD186" s="471">
        <f>'KB 19'!L$121</f>
        <v>8522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15896</v>
      </c>
      <c r="V192" s="473">
        <f>'KB 20'!C$72</f>
        <v>15896</v>
      </c>
      <c r="W192" s="473">
        <f>'KB 20'!D$72</f>
        <v>15896</v>
      </c>
      <c r="X192" s="473">
        <f>'KB 20'!E$72</f>
        <v>26110</v>
      </c>
      <c r="Y192" s="473">
        <f>'KB 20'!F$72</f>
        <v>26110</v>
      </c>
      <c r="Z192" s="473">
        <f>'KB 20'!G$72</f>
        <v>26110</v>
      </c>
      <c r="AB192" s="473">
        <f>'KB 20'!J$82</f>
        <v>15896</v>
      </c>
      <c r="AC192" s="473">
        <f>'KB 20'!K$82</f>
        <v>15896</v>
      </c>
      <c r="AD192" s="473">
        <f>'KB 20'!L$82</f>
        <v>15896</v>
      </c>
      <c r="AE192" s="473">
        <f>'KB 20'!M$82</f>
        <v>0</v>
      </c>
      <c r="AF192" s="473">
        <f>'KB 20'!N$82</f>
        <v>0</v>
      </c>
      <c r="AG192" s="473">
        <f>'KB 20'!O$82</f>
        <v>0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136432</v>
      </c>
      <c r="V199" s="473">
        <f>'KB 21'!C$72</f>
        <v>136432</v>
      </c>
      <c r="W199" s="473">
        <f>'KB 21'!D$72</f>
        <v>136432</v>
      </c>
      <c r="X199" s="473">
        <f>'KB 21'!E$72</f>
        <v>157605</v>
      </c>
      <c r="Y199" s="473">
        <f>'KB 21'!F$72</f>
        <v>157605</v>
      </c>
      <c r="Z199" s="473">
        <f>'KB 21'!G$72</f>
        <v>157605</v>
      </c>
      <c r="AB199" s="473">
        <f>'KB 21'!J$82</f>
        <v>136432</v>
      </c>
      <c r="AC199" s="473">
        <f>'KB 21'!K$82</f>
        <v>136432</v>
      </c>
      <c r="AD199" s="473">
        <f>'KB 21'!L$82</f>
        <v>136432</v>
      </c>
      <c r="AE199" s="473">
        <f>'KB 21'!M$82</f>
        <v>0</v>
      </c>
      <c r="AF199" s="473">
        <f>'KB 21'!N$82</f>
        <v>0</v>
      </c>
      <c r="AG199" s="473">
        <f>'KB 21'!O$82</f>
        <v>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7896</v>
      </c>
      <c r="V206" s="473">
        <f>'KB 22'!C$72</f>
        <v>7896</v>
      </c>
      <c r="W206" s="473">
        <f>'KB 22'!D$72</f>
        <v>7896</v>
      </c>
      <c r="X206" s="473">
        <f>'KB 22'!E$72</f>
        <v>13596</v>
      </c>
      <c r="Y206" s="473">
        <f>'KB 22'!F$72</f>
        <v>13596</v>
      </c>
      <c r="Z206" s="473">
        <f>'KB 22'!G$72</f>
        <v>13596</v>
      </c>
      <c r="AB206" s="473">
        <f>'KB 22'!J$82</f>
        <v>7896</v>
      </c>
      <c r="AC206" s="473">
        <f>'KB 22'!K$82</f>
        <v>7896</v>
      </c>
      <c r="AD206" s="473">
        <f>'KB 22'!L$82</f>
        <v>7896</v>
      </c>
      <c r="AE206" s="473">
        <f>'KB 22'!M$82</f>
        <v>0</v>
      </c>
      <c r="AF206" s="473">
        <f>'KB 22'!N$82</f>
        <v>0</v>
      </c>
      <c r="AG206" s="473">
        <f>'KB 22'!O$82</f>
        <v>0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22964</v>
      </c>
      <c r="V208" s="471">
        <f>'KB 22'!C$150</f>
        <v>22964</v>
      </c>
      <c r="W208" s="471">
        <f>'KB 22'!D$150</f>
        <v>22964</v>
      </c>
      <c r="X208" s="471">
        <f>'KB 22'!E$150</f>
        <v>34036</v>
      </c>
      <c r="Y208" s="471">
        <f>'KB 22'!F$150</f>
        <v>34036</v>
      </c>
      <c r="Z208" s="471">
        <f>'KB 22'!G$150</f>
        <v>34036</v>
      </c>
      <c r="AA208" s="471"/>
      <c r="AB208" s="471">
        <f>'KB 22'!J$160</f>
        <v>22964</v>
      </c>
      <c r="AC208" s="471">
        <f>'KB 22'!K$160</f>
        <v>22964</v>
      </c>
      <c r="AD208" s="471">
        <f>'KB 22'!L$160</f>
        <v>22964</v>
      </c>
      <c r="AE208" s="471">
        <f>'KB 22'!M$160</f>
        <v>0</v>
      </c>
      <c r="AF208" s="471">
        <f>'KB 22'!N$160</f>
        <v>0</v>
      </c>
      <c r="AG208" s="471">
        <f>'KB 22'!O$160</f>
        <v>0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360479</v>
      </c>
      <c r="V220" s="473">
        <f>'KB 23'!C$72</f>
        <v>554706</v>
      </c>
      <c r="W220" s="473">
        <f>'KB 23'!D$72</f>
        <v>598734</v>
      </c>
      <c r="X220" s="473">
        <f>'KB 23'!E$72</f>
        <v>340244</v>
      </c>
      <c r="Y220" s="473">
        <f>'KB 23'!F$72</f>
        <v>343244</v>
      </c>
      <c r="Z220" s="473">
        <f>'KB 23'!G$72</f>
        <v>340244</v>
      </c>
      <c r="AB220" s="473">
        <f>'KB 23'!J$82</f>
        <v>360479</v>
      </c>
      <c r="AC220" s="473">
        <f>'KB 23'!K$82</f>
        <v>360479</v>
      </c>
      <c r="AD220" s="473">
        <f>'KB 23'!L$82</f>
        <v>360479</v>
      </c>
      <c r="AE220" s="473">
        <f>'KB 23'!M$82</f>
        <v>0</v>
      </c>
      <c r="AF220" s="473">
        <f>'KB 23'!N$82</f>
        <v>0</v>
      </c>
      <c r="AG220" s="473">
        <f>'KB 23'!O$82</f>
        <v>0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0</v>
      </c>
      <c r="W227" s="473">
        <f>'KB 24'!D$72</f>
        <v>0</v>
      </c>
      <c r="X227" s="473">
        <f>'KB 24'!E$72</f>
        <v>0</v>
      </c>
      <c r="Y227" s="473">
        <f>'KB 24'!F$72</f>
        <v>0</v>
      </c>
      <c r="Z227" s="473">
        <f>'KB 24'!G$72</f>
        <v>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143066</v>
      </c>
      <c r="V234" s="473">
        <f>'KB 25'!C$72</f>
        <v>143066</v>
      </c>
      <c r="W234" s="473">
        <f>'KB 25'!D$72</f>
        <v>143066</v>
      </c>
      <c r="X234" s="473">
        <f>'KB 25'!E$72</f>
        <v>20100</v>
      </c>
      <c r="Y234" s="473">
        <f>'KB 25'!F$72</f>
        <v>20044</v>
      </c>
      <c r="Z234" s="473">
        <f>'KB 25'!G$72</f>
        <v>20100</v>
      </c>
      <c r="AB234" s="473">
        <f>'KB 25'!J$82</f>
        <v>143066</v>
      </c>
      <c r="AC234" s="473">
        <f>'KB 25'!K$82</f>
        <v>143066</v>
      </c>
      <c r="AD234" s="473">
        <f>'KB 25'!L$82</f>
        <v>143066</v>
      </c>
      <c r="AE234" s="473">
        <f>'KB 25'!M$82</f>
        <v>0</v>
      </c>
      <c r="AF234" s="473">
        <f>'KB 25'!N$82</f>
        <v>0</v>
      </c>
      <c r="AG234" s="473">
        <f>'KB 25'!O$82</f>
        <v>0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414697</v>
      </c>
      <c r="V248" s="473">
        <f>'KB27'!C$72</f>
        <v>414597</v>
      </c>
      <c r="W248" s="473">
        <f>'KB27'!D$72</f>
        <v>414697</v>
      </c>
      <c r="X248" s="473">
        <f>'KB27'!E$72</f>
        <v>530000</v>
      </c>
      <c r="Y248" s="473">
        <f>'KB27'!F$72</f>
        <v>532000</v>
      </c>
      <c r="Z248" s="473">
        <f>'KB27'!G$72</f>
        <v>531408</v>
      </c>
      <c r="AB248" s="473">
        <f>'KB27'!J$82</f>
        <v>320750</v>
      </c>
      <c r="AC248" s="473">
        <f>'KB27'!K$82</f>
        <v>320750</v>
      </c>
      <c r="AD248" s="473">
        <f>'KB27'!L$82</f>
        <v>324378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k+Nm68N7GXUREWuHFit5nzAHA/lmGeMFXReC74RtarBNTeBlmJ0Dr5FD8DAk6hafbMV6sGkNaC3yHzY6jyWpFQ==" saltValue="m68XkU6USOtD2d9h8j3dO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68" t="str">
        <f>'(G1) Fjalori'!A448</f>
        <v>(F9) GRAFIKU I SHPENZIMEVE SIPAS TIPIT TË PROGRAMIT - VLERA BRUTO</v>
      </c>
      <c r="B1" s="1069"/>
      <c r="C1" s="1069"/>
      <c r="D1" s="1069"/>
      <c r="E1" s="1069"/>
      <c r="F1" s="1069"/>
      <c r="G1" s="1069"/>
      <c r="H1" s="1069"/>
      <c r="I1" s="1070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2019</v>
      </c>
      <c r="D7" s="98">
        <f>'(F8) Shpenzimet sipas aktivitet'!I5</f>
        <v>2020</v>
      </c>
      <c r="E7" s="98">
        <f>'(F8) Shpenzimet sipas aktivitet'!J5</f>
        <v>2021</v>
      </c>
      <c r="F7" s="98">
        <f>'(F8) Shpenzimet sipas aktivitet'!K5</f>
        <v>2022</v>
      </c>
      <c r="G7" s="98">
        <f>'(F8) Shpenzimet sipas aktivitet'!L5</f>
        <v>2023</v>
      </c>
      <c r="H7" s="98">
        <f>'(F8) Shpenzimet sipas aktivitet'!M5</f>
        <v>2024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1521488</v>
      </c>
      <c r="D8" s="98">
        <f>'(F8) Shpenzimet sipas aktivitet'!I6</f>
        <v>1715615</v>
      </c>
      <c r="E8" s="98">
        <f>'(F8) Shpenzimet sipas aktivitet'!J6</f>
        <v>1759743</v>
      </c>
      <c r="F8" s="98">
        <f>'(F8) Shpenzimet sipas aktivitet'!K6</f>
        <v>1736771</v>
      </c>
      <c r="G8" s="98">
        <f>'(F8) Shpenzimet sipas aktivitet'!L6</f>
        <v>1758715</v>
      </c>
      <c r="H8" s="98">
        <f>'(F8) Shpenzimet sipas aktivitet'!M6</f>
        <v>1786878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1521488</v>
      </c>
      <c r="D10" s="98">
        <f>'(F8) Shpenzimet sipas aktivitet'!I8</f>
        <v>1715615</v>
      </c>
      <c r="E10" s="98">
        <f>'(F8) Shpenzimet sipas aktivitet'!J8</f>
        <v>1759743</v>
      </c>
      <c r="F10" s="98">
        <f>'(F8) Shpenzimet sipas aktivitet'!K8</f>
        <v>1736771</v>
      </c>
      <c r="G10" s="98">
        <f>'(F8) Shpenzimet sipas aktivitet'!L8</f>
        <v>1758715</v>
      </c>
      <c r="H10" s="98">
        <f>'(F8) Shpenzimet sipas aktivitet'!M8</f>
        <v>1786878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2019</v>
      </c>
      <c r="D40" s="109">
        <f>'(F8) Shpenzimet sipas aktivitet'!I26</f>
        <v>2020</v>
      </c>
      <c r="E40" s="109">
        <f>'(F8) Shpenzimet sipas aktivitet'!J26</f>
        <v>2021</v>
      </c>
      <c r="F40" s="109">
        <f>'(F8) Shpenzimet sipas aktivitet'!K26</f>
        <v>2022</v>
      </c>
      <c r="G40" s="109">
        <f>'(F8) Shpenzimet sipas aktivitet'!L26</f>
        <v>2023</v>
      </c>
      <c r="H40" s="109">
        <f>'(F8) Shpenzimet sipas aktivitet'!M26</f>
        <v>2024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1125837</v>
      </c>
      <c r="D41" s="109">
        <f>'(F8) Shpenzimet sipas aktivitet'!I27</f>
        <v>1319964</v>
      </c>
      <c r="E41" s="109">
        <f>'(F8) Shpenzimet sipas aktivitet'!J27</f>
        <v>1364092</v>
      </c>
      <c r="F41" s="109">
        <f>'(F8) Shpenzimet sipas aktivitet'!K27</f>
        <v>1364115</v>
      </c>
      <c r="G41" s="109">
        <f>'(F8) Shpenzimet sipas aktivitet'!L27</f>
        <v>1373115</v>
      </c>
      <c r="H41" s="109">
        <f>'(F8) Shpenzimet sipas aktivitet'!M27</f>
        <v>1374223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176061</v>
      </c>
      <c r="D42" s="109">
        <f>'(F8) Shpenzimet sipas aktivitet'!I28</f>
        <v>176061</v>
      </c>
      <c r="E42" s="109">
        <f>'(F8) Shpenzimet sipas aktivitet'!J28</f>
        <v>176061</v>
      </c>
      <c r="F42" s="109">
        <f>'(F8) Shpenzimet sipas aktivitet'!K28</f>
        <v>64136</v>
      </c>
      <c r="G42" s="109">
        <f>'(F8) Shpenzimet sipas aktivitet'!L28</f>
        <v>64080</v>
      </c>
      <c r="H42" s="109">
        <f>'(F8) Shpenzimet sipas aktivitet'!M28</f>
        <v>64136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219590</v>
      </c>
      <c r="D43" s="109">
        <f>'(F8) Shpenzimet sipas aktivitet'!I29</f>
        <v>219590</v>
      </c>
      <c r="E43" s="109">
        <f>'(F8) Shpenzimet sipas aktivitet'!J29</f>
        <v>219590</v>
      </c>
      <c r="F43" s="109">
        <f>'(F8) Shpenzimet sipas aktivitet'!K29</f>
        <v>308520</v>
      </c>
      <c r="G43" s="109">
        <f>'(F8) Shpenzimet sipas aktivitet'!L29</f>
        <v>321520</v>
      </c>
      <c r="H43" s="109">
        <f>'(F8) Shpenzimet sipas aktivitet'!M29</f>
        <v>348519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1521488</v>
      </c>
      <c r="D44" s="109">
        <f>'(F8) Shpenzimet sipas aktivitet'!I30</f>
        <v>1715615</v>
      </c>
      <c r="E44" s="109">
        <f>'(F8) Shpenzimet sipas aktivitet'!J30</f>
        <v>1759743</v>
      </c>
      <c r="F44" s="109">
        <f>'(F8) Shpenzimet sipas aktivitet'!K30</f>
        <v>1736771</v>
      </c>
      <c r="G44" s="109">
        <f>'(F8) Shpenzimet sipas aktivitet'!L30</f>
        <v>1758715</v>
      </c>
      <c r="H44" s="109">
        <f>'(F8) Shpenzimet sipas aktivitet'!M30</f>
        <v>1786878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AwXO4CMRTDypR8o6ul6q5J2qByTOevqHfQw37Yb3ir8PjZ8nJzoPNLuvDb+WJmKO7N6vWxecGyuF08CrtTFevw==" saltValue="hAI/2QQOw6gZTBcJHbbum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5703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5703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73" t="str">
        <f>'(G1) Fjalori'!A450</f>
        <v>(F10) SHPENZIMET SIPAS KLASIFIKIMIT EKONOMIK (BRUTO)</v>
      </c>
      <c r="B1" s="1074"/>
      <c r="C1" s="1074"/>
      <c r="D1" s="1074"/>
      <c r="E1" s="1074"/>
      <c r="F1" s="1074"/>
      <c r="G1" s="1074"/>
      <c r="H1" s="1074"/>
      <c r="I1" s="1074"/>
      <c r="J1" s="1074"/>
      <c r="K1" s="1074"/>
      <c r="L1" s="1074"/>
      <c r="M1" s="1074"/>
      <c r="N1" s="1074"/>
      <c r="O1" s="1075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58" t="str">
        <f>'(G1) Fjalori'!A359</f>
        <v>PËRMBLEDHJE E KËRKESËS BUXHETORE</v>
      </c>
      <c r="B13" s="959"/>
      <c r="C13" s="959"/>
      <c r="D13" s="959"/>
      <c r="E13" s="959"/>
      <c r="F13" s="959"/>
      <c r="G13" s="959"/>
      <c r="H13" s="959"/>
      <c r="I13" s="959"/>
      <c r="J13" s="959"/>
      <c r="K13" s="959"/>
      <c r="L13" s="959"/>
      <c r="M13" s="959"/>
      <c r="N13" s="959"/>
      <c r="O13" s="979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58" t="str">
        <f>'(G1) Fjalori'!A384</f>
        <v>SHPENZIME TË PRITSHME</v>
      </c>
      <c r="B15" s="959"/>
      <c r="C15" s="959"/>
      <c r="D15" s="959"/>
      <c r="E15" s="959"/>
      <c r="F15" s="959"/>
      <c r="G15" s="979"/>
      <c r="H15" s="131"/>
      <c r="I15" s="980" t="str">
        <f>I28</f>
        <v xml:space="preserve">TË ARDHURAT E PRITSHME </v>
      </c>
      <c r="J15" s="959"/>
      <c r="K15" s="959"/>
      <c r="L15" s="959"/>
      <c r="M15" s="959"/>
      <c r="N15" s="959"/>
      <c r="O15" s="97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87"/>
      <c r="B17" s="987"/>
      <c r="C17" s="987"/>
      <c r="D17" s="987"/>
      <c r="E17" s="987"/>
      <c r="F17" s="987"/>
      <c r="G17" s="987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1521488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1715615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1759743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1736771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1758715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1786878</v>
      </c>
      <c r="I18" s="963" t="str">
        <f>'(G1) Fjalori'!A385</f>
        <v>VLERËSIM I ARDHURAVE NGA TARIFAT</v>
      </c>
      <c r="J18" s="964"/>
      <c r="K18" s="964"/>
      <c r="L18" s="964"/>
      <c r="M18" s="964"/>
      <c r="N18" s="964"/>
      <c r="O18" s="965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95128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95128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95128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0</v>
      </c>
    </row>
    <row r="20" spans="1:15" ht="12.75" x14ac:dyDescent="0.2">
      <c r="A20" s="969" t="str">
        <f>A15</f>
        <v>SHPENZIME TË PRITSHME</v>
      </c>
      <c r="B20" s="970"/>
      <c r="C20" s="970"/>
      <c r="D20" s="970"/>
      <c r="E20" s="970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70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71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63" t="str">
        <f>'(G1) Fjalori'!A382</f>
        <v>KOSTO DIREKTE PËR PROJEKTET DHE SHPENZIMET KAPITALE</v>
      </c>
      <c r="B21" s="964"/>
      <c r="C21" s="964"/>
      <c r="D21" s="964"/>
      <c r="E21" s="964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64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65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63" t="str">
        <f>'(G1) Fjalori'!A389</f>
        <v>VLERËSIMI I TË ARDHURAVE ME DESTINACION</v>
      </c>
      <c r="J21" s="964"/>
      <c r="K21" s="964"/>
      <c r="L21" s="964"/>
      <c r="M21" s="964"/>
      <c r="N21" s="964"/>
      <c r="O21" s="965"/>
    </row>
    <row r="22" spans="1:15" ht="12.75" x14ac:dyDescent="0.2">
      <c r="A22" s="124" t="str">
        <f>'(G1) Fjalori'!A360</f>
        <v>Pagat</v>
      </c>
      <c r="B22" s="966">
        <f>'(G1) Fjalori'!C360</f>
        <v>600</v>
      </c>
      <c r="C22" s="967"/>
      <c r="D22" s="968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09" t="str">
        <f>'(G1) Fjalori'!A390</f>
        <v>Transferta e kushtëzuar</v>
      </c>
      <c r="J22" s="701"/>
      <c r="K22" s="700"/>
      <c r="L22" s="702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0</v>
      </c>
    </row>
    <row r="23" spans="1:15" ht="12.75" x14ac:dyDescent="0.2">
      <c r="A23" s="124" t="str">
        <f>'(G1) Fjalori'!A361</f>
        <v>Sigurimet Shoqërore</v>
      </c>
      <c r="B23" s="966">
        <f>'(G1) Fjalori'!C361</f>
        <v>601</v>
      </c>
      <c r="C23" s="967"/>
      <c r="D23" s="968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09" t="str">
        <f>'(G1) Fjalori'!A391</f>
        <v>Trasferta Specifike</v>
      </c>
      <c r="J23" s="703"/>
      <c r="K23" s="704"/>
      <c r="L23" s="705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0</v>
      </c>
    </row>
    <row r="24" spans="1:15" ht="12.75" x14ac:dyDescent="0.2">
      <c r="A24" s="124" t="str">
        <f>'(G1) Fjalori'!A362</f>
        <v>Mallra dhe shërbime</v>
      </c>
      <c r="B24" s="966">
        <f>'(G1) Fjalori'!C362</f>
        <v>602</v>
      </c>
      <c r="C24" s="967"/>
      <c r="D24" s="968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09" t="str">
        <f>'(G1) Fjalori'!A392</f>
        <v>Trashëgimi me destinacion</v>
      </c>
      <c r="J24" s="703"/>
      <c r="K24" s="704"/>
      <c r="L24" s="705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66">
        <f>'(G1) Fjalori'!C363</f>
        <v>603</v>
      </c>
      <c r="C25" s="967"/>
      <c r="D25" s="968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09" t="str">
        <f>'(G1) Fjalori'!A393</f>
        <v>Burime të tjera (përfshirë gjobat)</v>
      </c>
      <c r="J25" s="706"/>
      <c r="K25" s="707"/>
      <c r="L25" s="708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66">
        <f>'(G1) Fjalori'!C364</f>
        <v>604</v>
      </c>
      <c r="C26" s="967"/>
      <c r="D26" s="968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09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1002212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1188506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1192134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0</v>
      </c>
    </row>
    <row r="27" spans="1:15" ht="12.75" x14ac:dyDescent="0.2">
      <c r="A27" s="124" t="str">
        <f>'(G1) Fjalori'!A365</f>
        <v>Transferta korrente të huaja</v>
      </c>
      <c r="B27" s="966">
        <f>'(G1) Fjalori'!C365</f>
        <v>605</v>
      </c>
      <c r="C27" s="967"/>
      <c r="D27" s="968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66">
        <f>'(G1) Fjalori'!C366</f>
        <v>606</v>
      </c>
      <c r="C28" s="967"/>
      <c r="D28" s="968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1097340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1283634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1287262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0</v>
      </c>
    </row>
    <row r="29" spans="1:15" ht="12.75" x14ac:dyDescent="0.2">
      <c r="A29" s="124" t="str">
        <f>'(G1) Fjalori'!A367</f>
        <v>Shpenzimet kapitale</v>
      </c>
      <c r="B29" s="966" t="str">
        <f>'(G1) Fjalori'!C367</f>
        <v>230 / 231</v>
      </c>
      <c r="C29" s="967"/>
      <c r="D29" s="968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134027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146527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179226</v>
      </c>
      <c r="H29" s="53"/>
    </row>
    <row r="30" spans="1:15" ht="12.75" x14ac:dyDescent="0.2">
      <c r="A30" s="124" t="str">
        <f>'(G1) Fjalori'!A368</f>
        <v>Rezerva</v>
      </c>
      <c r="B30" s="966">
        <f>'(G1) Fjalori'!C368</f>
        <v>609</v>
      </c>
      <c r="C30" s="967"/>
      <c r="D30" s="968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66">
        <f>'(G1) Fjalori'!C369</f>
        <v>650</v>
      </c>
      <c r="C31" s="967"/>
      <c r="D31" s="968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66" t="str">
        <f>'(G1) Fjalori'!C370</f>
        <v>69 / ?</v>
      </c>
      <c r="C32" s="967"/>
      <c r="D32" s="968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72" t="str">
        <f>'(G1) Fjalori'!A415</f>
        <v>SHUMA E KËRKUAR NETO</v>
      </c>
      <c r="J32" s="973"/>
      <c r="K32" s="973"/>
      <c r="L32" s="973"/>
      <c r="M32" s="973"/>
      <c r="N32" s="973"/>
      <c r="O32" s="974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66"/>
      <c r="C33" s="967"/>
      <c r="D33" s="968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134027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146527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179226</v>
      </c>
      <c r="H33" s="53"/>
      <c r="I33" s="975"/>
      <c r="J33" s="976"/>
      <c r="K33" s="976"/>
      <c r="L33" s="976"/>
      <c r="M33" s="976"/>
      <c r="N33" s="976"/>
      <c r="O33" s="977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63" t="str">
        <f>'(G1) Fjalori'!A383</f>
        <v>SHPENZIME KORRENTE</v>
      </c>
      <c r="B34" s="964"/>
      <c r="C34" s="964"/>
      <c r="D34" s="964"/>
      <c r="E34" s="964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64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65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424148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431981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472481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1736771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1758715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1786878</v>
      </c>
    </row>
    <row r="35" spans="1:15" ht="12.75" x14ac:dyDescent="0.2">
      <c r="A35" s="124" t="str">
        <f>A22</f>
        <v>Pagat</v>
      </c>
      <c r="B35" s="966">
        <f>B22</f>
        <v>600</v>
      </c>
      <c r="C35" s="967"/>
      <c r="D35" s="968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445335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447479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447985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66">
        <f t="shared" ref="B36:B45" si="2">B23</f>
        <v>601</v>
      </c>
      <c r="C36" s="967"/>
      <c r="D36" s="968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74375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74675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75225</v>
      </c>
      <c r="H36" s="53"/>
    </row>
    <row r="37" spans="1:15" ht="12.75" x14ac:dyDescent="0.2">
      <c r="A37" s="124" t="str">
        <f t="shared" si="1"/>
        <v>Mallra dhe shërbime</v>
      </c>
      <c r="B37" s="966">
        <f t="shared" si="2"/>
        <v>602</v>
      </c>
      <c r="C37" s="967"/>
      <c r="D37" s="968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1083034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1087034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1084442</v>
      </c>
      <c r="H37" s="53"/>
      <c r="I37" s="124" t="str">
        <f>'(G1) Fjalori'!A413</f>
        <v>Angazhimet</v>
      </c>
      <c r="J37" s="1017" t="str">
        <f>'(G1) Fjalori'!A454</f>
        <v>Vlera Totale për Aktivitet</v>
      </c>
      <c r="K37" s="1018"/>
      <c r="L37" s="1019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0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0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0</v>
      </c>
    </row>
    <row r="38" spans="1:15" ht="12.75" x14ac:dyDescent="0.2">
      <c r="A38" s="124" t="str">
        <f t="shared" si="1"/>
        <v>Subvencione</v>
      </c>
      <c r="B38" s="966">
        <f t="shared" si="2"/>
        <v>603</v>
      </c>
      <c r="C38" s="967"/>
      <c r="D38" s="968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66">
        <f t="shared" si="2"/>
        <v>604</v>
      </c>
      <c r="C39" s="967"/>
      <c r="D39" s="968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0</v>
      </c>
    </row>
    <row r="40" spans="1:15" ht="12.75" x14ac:dyDescent="0.2">
      <c r="A40" s="124" t="str">
        <f t="shared" si="1"/>
        <v>Transferta korrente të huaja</v>
      </c>
      <c r="B40" s="966">
        <f t="shared" si="2"/>
        <v>605</v>
      </c>
      <c r="C40" s="967"/>
      <c r="D40" s="968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66">
        <f t="shared" si="2"/>
        <v>606</v>
      </c>
      <c r="C41" s="967"/>
      <c r="D41" s="968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 x14ac:dyDescent="0.2">
      <c r="A42" s="124" t="str">
        <f t="shared" si="1"/>
        <v>Shpenzimet kapitale</v>
      </c>
      <c r="B42" s="966" t="str">
        <f t="shared" si="2"/>
        <v>230 / 231</v>
      </c>
      <c r="C42" s="967"/>
      <c r="D42" s="968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66">
        <f t="shared" si="2"/>
        <v>609</v>
      </c>
      <c r="C43" s="967"/>
      <c r="D43" s="968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1008"/>
      <c r="K43" s="1009"/>
      <c r="L43" s="1009"/>
      <c r="M43" s="1009"/>
      <c r="N43" s="1009"/>
      <c r="O43" s="1010"/>
    </row>
    <row r="44" spans="1:15" ht="12.75" x14ac:dyDescent="0.2">
      <c r="A44" s="124" t="str">
        <f t="shared" si="1"/>
        <v>Interesa per kredi direkte ose bono</v>
      </c>
      <c r="B44" s="996">
        <f t="shared" si="2"/>
        <v>650</v>
      </c>
      <c r="C44" s="997"/>
      <c r="D44" s="998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1011"/>
      <c r="K44" s="1012"/>
      <c r="L44" s="1012"/>
      <c r="M44" s="1012"/>
      <c r="N44" s="1012"/>
      <c r="O44" s="1013"/>
    </row>
    <row r="45" spans="1:15" ht="12.75" x14ac:dyDescent="0.2">
      <c r="A45" s="252" t="str">
        <f t="shared" si="1"/>
        <v>Të tjera</v>
      </c>
      <c r="B45" s="966" t="str">
        <f t="shared" si="2"/>
        <v>69 / ?</v>
      </c>
      <c r="C45" s="967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3000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1011"/>
      <c r="K45" s="1012"/>
      <c r="L45" s="1012"/>
      <c r="M45" s="1012"/>
      <c r="N45" s="1012"/>
      <c r="O45" s="1013"/>
    </row>
    <row r="46" spans="1:15" ht="12.75" x14ac:dyDescent="0.2">
      <c r="A46" s="137" t="str">
        <f>A34</f>
        <v>SHPENZIME KORRENTE</v>
      </c>
      <c r="B46" s="999"/>
      <c r="C46" s="1000"/>
      <c r="D46" s="1001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1602744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1612188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1607652</v>
      </c>
      <c r="H46" s="53"/>
      <c r="J46" s="1011"/>
      <c r="K46" s="1012"/>
      <c r="L46" s="1012"/>
      <c r="M46" s="1012"/>
      <c r="N46" s="1012"/>
      <c r="O46" s="1013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1011"/>
      <c r="K47" s="1012"/>
      <c r="L47" s="1012"/>
      <c r="M47" s="1012"/>
      <c r="N47" s="1012"/>
      <c r="O47" s="1013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1521488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1715615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1759743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1736771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1758715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1786878</v>
      </c>
      <c r="H48" s="53"/>
      <c r="J48" s="1014"/>
      <c r="K48" s="1015"/>
      <c r="L48" s="1015"/>
      <c r="M48" s="1015"/>
      <c r="N48" s="1015"/>
      <c r="O48" s="1016"/>
    </row>
    <row r="49" spans="1:15" ht="12.75" x14ac:dyDescent="0.2">
      <c r="H49" s="53"/>
    </row>
    <row r="50" spans="1:15" ht="21" x14ac:dyDescent="0.25">
      <c r="A50" s="958" t="str">
        <f>'(G1) Fjalori'!A396</f>
        <v>PËRPUTHSHMËRIA ME TAVANET</v>
      </c>
      <c r="B50" s="959"/>
      <c r="C50" s="960"/>
      <c r="D50" s="960"/>
      <c r="E50" s="960"/>
      <c r="F50" s="960"/>
      <c r="G50" s="960"/>
      <c r="H50" s="960"/>
      <c r="I50" s="960"/>
      <c r="J50" s="960"/>
      <c r="K50" s="960"/>
      <c r="L50" s="960"/>
      <c r="M50" s="960"/>
      <c r="N50" s="960"/>
      <c r="O50" s="961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2022</v>
      </c>
      <c r="N51" s="251">
        <f>N16</f>
        <v>2023</v>
      </c>
      <c r="O51" s="251">
        <f>O16</f>
        <v>2024</v>
      </c>
    </row>
    <row r="52" spans="1:15" ht="12.75" x14ac:dyDescent="0.2">
      <c r="A52" s="1002" t="str">
        <f>'(G1) Fjalori'!A397</f>
        <v>Tavani i përgjithshëm</v>
      </c>
      <c r="B52" s="1003"/>
      <c r="C52" s="1003"/>
      <c r="D52" s="1003"/>
      <c r="E52" s="1003"/>
      <c r="F52" s="1003"/>
      <c r="G52" s="1003"/>
      <c r="H52" s="1003"/>
      <c r="I52" s="1003"/>
      <c r="J52" s="1003"/>
      <c r="K52" s="1003"/>
      <c r="L52" s="1004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1736771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1758715</v>
      </c>
      <c r="O52" s="673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1786878</v>
      </c>
    </row>
    <row r="53" spans="1:15" ht="12.75" x14ac:dyDescent="0.2">
      <c r="A53" s="1005" t="str">
        <f>'(G1) Fjalori'!A398</f>
        <v>SHPENZIMET E PRITSHME</v>
      </c>
      <c r="B53" s="1006"/>
      <c r="C53" s="1006"/>
      <c r="D53" s="1006"/>
      <c r="E53" s="1006"/>
      <c r="F53" s="1006"/>
      <c r="G53" s="1006"/>
      <c r="H53" s="1006"/>
      <c r="I53" s="1006"/>
      <c r="J53" s="1006"/>
      <c r="K53" s="1006"/>
      <c r="L53" s="1007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1736771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1758715</v>
      </c>
      <c r="O53" s="674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1786878</v>
      </c>
    </row>
    <row r="54" spans="1:15" ht="12.75" x14ac:dyDescent="0.2">
      <c r="A54" s="1021" t="str">
        <f>'(G1) Fjalori'!A399</f>
        <v>Diferenca mes tavaneve të përgjithshme (duhet të jetë &lt;0)</v>
      </c>
      <c r="B54" s="1022"/>
      <c r="C54" s="1022"/>
      <c r="D54" s="1022"/>
      <c r="E54" s="1022"/>
      <c r="F54" s="1022"/>
      <c r="G54" s="1022"/>
      <c r="H54" s="1022"/>
      <c r="I54" s="1022"/>
      <c r="J54" s="1022"/>
      <c r="K54" s="1022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1002" t="str">
        <f>'(G1) Fjalori'!A400</f>
        <v>Tavani i pagave dhe sigurimeve shoqërore</v>
      </c>
      <c r="B55" s="1003"/>
      <c r="C55" s="1003"/>
      <c r="D55" s="1003"/>
      <c r="E55" s="1003"/>
      <c r="F55" s="1003"/>
      <c r="G55" s="1003"/>
      <c r="H55" s="1003"/>
      <c r="I55" s="1003"/>
      <c r="J55" s="1003"/>
      <c r="K55" s="1003"/>
      <c r="L55" s="1004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519710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522154</v>
      </c>
      <c r="O55" s="673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523210</v>
      </c>
    </row>
    <row r="56" spans="1:15" ht="12.75" x14ac:dyDescent="0.2">
      <c r="A56" s="1021" t="str">
        <f>'(G1) Fjalori'!A401</f>
        <v>Paga dhe sigurime shoqërore</v>
      </c>
      <c r="B56" s="1022"/>
      <c r="C56" s="1022"/>
      <c r="D56" s="1022"/>
      <c r="E56" s="1022"/>
      <c r="F56" s="1022"/>
      <c r="G56" s="1022"/>
      <c r="H56" s="1022"/>
      <c r="I56" s="1022"/>
      <c r="J56" s="1022"/>
      <c r="K56" s="1022"/>
      <c r="L56" s="1024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519710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522154</v>
      </c>
      <c r="O56" s="674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523210</v>
      </c>
    </row>
    <row r="57" spans="1:15" ht="12.75" x14ac:dyDescent="0.2">
      <c r="A57" s="1021" t="str">
        <f>'(G1) Fjalori'!A402</f>
        <v>Diferenca e tavaneve në paga dhe sigurime shoqërore (duhet të jetë &lt;0)</v>
      </c>
      <c r="B57" s="1022"/>
      <c r="C57" s="1022"/>
      <c r="D57" s="1022"/>
      <c r="E57" s="1022"/>
      <c r="F57" s="1022"/>
      <c r="G57" s="1022"/>
      <c r="H57" s="1022"/>
      <c r="I57" s="1022"/>
      <c r="J57" s="1022"/>
      <c r="K57" s="1022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1002" t="str">
        <f>'(G1) Fjalori'!A403</f>
        <v>Tavani për shpenzime e tjera korrente</v>
      </c>
      <c r="B58" s="1003"/>
      <c r="C58" s="1003"/>
      <c r="D58" s="1003"/>
      <c r="E58" s="1003"/>
      <c r="F58" s="1003"/>
      <c r="G58" s="1003"/>
      <c r="H58" s="1003"/>
      <c r="I58" s="1003"/>
      <c r="J58" s="1003"/>
      <c r="K58" s="1003"/>
      <c r="L58" s="1004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1083034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1090034</v>
      </c>
      <c r="O58" s="673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1084442</v>
      </c>
    </row>
    <row r="59" spans="1:15" s="27" customFormat="1" ht="12.75" x14ac:dyDescent="0.2">
      <c r="A59" s="1021" t="str">
        <f>'(G1) Fjalori'!A404</f>
        <v>Konsumi (përjashtuar paga dhe sigurimet shoqërore)</v>
      </c>
      <c r="B59" s="1022"/>
      <c r="C59" s="1022"/>
      <c r="D59" s="1022"/>
      <c r="E59" s="1022"/>
      <c r="F59" s="1022"/>
      <c r="G59" s="1022"/>
      <c r="H59" s="1022"/>
      <c r="I59" s="1022"/>
      <c r="J59" s="1022"/>
      <c r="K59" s="1022"/>
      <c r="L59" s="1024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1083034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1090034</v>
      </c>
      <c r="O59" s="674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1084442</v>
      </c>
    </row>
    <row r="60" spans="1:15" s="27" customFormat="1" ht="12.75" x14ac:dyDescent="0.2">
      <c r="A60" s="1021" t="str">
        <f>'(G1) Fjalori'!A405</f>
        <v>Diferenca e tavaneve në konsum (duhet të jetë &lt;0)</v>
      </c>
      <c r="B60" s="1022"/>
      <c r="C60" s="1022"/>
      <c r="D60" s="1022"/>
      <c r="E60" s="1022"/>
      <c r="F60" s="1022"/>
      <c r="G60" s="1022"/>
      <c r="H60" s="1022"/>
      <c r="I60" s="1022"/>
      <c r="J60" s="1022"/>
      <c r="K60" s="1022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1002" t="str">
        <f>'(G1) Fjalori'!A406</f>
        <v>Minimumi i shpenzimeve kapitale</v>
      </c>
      <c r="B61" s="1003"/>
      <c r="C61" s="1003"/>
      <c r="D61" s="1003"/>
      <c r="E61" s="1003"/>
      <c r="F61" s="1003"/>
      <c r="G61" s="1003"/>
      <c r="H61" s="1003"/>
      <c r="I61" s="1003"/>
      <c r="J61" s="1003"/>
      <c r="K61" s="1003"/>
      <c r="L61" s="1004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134027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146527</v>
      </c>
      <c r="O61" s="673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179226</v>
      </c>
    </row>
    <row r="62" spans="1:15" ht="12.75" x14ac:dyDescent="0.2">
      <c r="A62" s="1021" t="str">
        <f>'(G1) Fjalori'!A407</f>
        <v>Shpenzimet kapitale</v>
      </c>
      <c r="B62" s="1022"/>
      <c r="C62" s="1022"/>
      <c r="D62" s="1022"/>
      <c r="E62" s="1022"/>
      <c r="F62" s="1022"/>
      <c r="G62" s="1022"/>
      <c r="H62" s="1022"/>
      <c r="I62" s="1022"/>
      <c r="J62" s="1022"/>
      <c r="K62" s="1022"/>
      <c r="L62" s="1024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134027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146527</v>
      </c>
      <c r="O62" s="674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179226</v>
      </c>
    </row>
    <row r="63" spans="1:15" s="99" customFormat="1" ht="12.75" x14ac:dyDescent="0.2">
      <c r="A63" s="1021" t="str">
        <f>'(G1) Fjalori'!A408</f>
        <v>Diferenca e minimumit të shpenzimeve kapitale (duhet të jetë &gt;0)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76" t="str">
        <f>A20</f>
        <v>SHPENZIME TË PRITSHME</v>
      </c>
      <c r="B66" s="1077"/>
      <c r="C66" s="1077"/>
      <c r="D66" s="1077"/>
      <c r="E66" s="1077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77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78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2019</v>
      </c>
      <c r="C67" s="249">
        <f t="shared" si="4"/>
        <v>2020</v>
      </c>
      <c r="D67" s="249">
        <f t="shared" si="4"/>
        <v>2021</v>
      </c>
      <c r="E67" s="250">
        <f t="shared" si="4"/>
        <v>2022</v>
      </c>
      <c r="F67" s="250">
        <f t="shared" si="4"/>
        <v>2023</v>
      </c>
      <c r="G67" s="250">
        <f t="shared" si="4"/>
        <v>2024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445335</v>
      </c>
      <c r="F68" s="305">
        <f t="shared" ref="F68:G68" si="6">F22+F35</f>
        <v>447479</v>
      </c>
      <c r="G68" s="305">
        <f t="shared" si="6"/>
        <v>447985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74375</v>
      </c>
      <c r="F69" s="305">
        <f t="shared" si="8"/>
        <v>74675</v>
      </c>
      <c r="G69" s="305">
        <f t="shared" si="8"/>
        <v>75225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1083034</v>
      </c>
      <c r="F70" s="305">
        <f t="shared" si="10"/>
        <v>1087034</v>
      </c>
      <c r="G70" s="305">
        <f t="shared" si="10"/>
        <v>1084442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0</v>
      </c>
      <c r="F74" s="305">
        <f t="shared" si="18"/>
        <v>0</v>
      </c>
      <c r="G74" s="305">
        <f t="shared" si="18"/>
        <v>0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134027</v>
      </c>
      <c r="F75" s="305">
        <f t="shared" si="20"/>
        <v>146527</v>
      </c>
      <c r="G75" s="305">
        <f t="shared" si="20"/>
        <v>179226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3000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1521488</v>
      </c>
      <c r="C80" s="353">
        <f t="shared" ref="C80:D80" si="27">C48</f>
        <v>1715615</v>
      </c>
      <c r="D80" s="353">
        <f t="shared" si="27"/>
        <v>1759743</v>
      </c>
      <c r="E80" s="354">
        <f t="shared" ref="E80:G80" si="28">E33+E46</f>
        <v>1736771</v>
      </c>
      <c r="F80" s="354">
        <f t="shared" si="28"/>
        <v>1758715</v>
      </c>
      <c r="G80" s="354">
        <f t="shared" si="28"/>
        <v>1786878</v>
      </c>
    </row>
  </sheetData>
  <sheetProtection algorithmName="SHA-512" hashValue="PU+lct/a3gj3TllsGU03a4KHXR2nbbOjryeUp948JYHn/ccGfBjtMSxSobFVQ74F2ZpK7uhhdby1wXu25GsVWw==" saltValue="TB+q0QuoInmzJ7THlQyGzA==" spinCount="100000"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68" t="str">
        <f>'(G1) Fjalori'!A458</f>
        <v>(F11) SHPENZIMET SIPAS KLASIFIKIMIT EKONOMIK (BRUTO)</v>
      </c>
      <c r="B1" s="1069"/>
      <c r="C1" s="1069"/>
      <c r="D1" s="1069"/>
      <c r="E1" s="1069"/>
      <c r="F1" s="1069"/>
      <c r="G1" s="1069"/>
      <c r="H1" s="1069"/>
      <c r="I1" s="1069"/>
      <c r="J1" s="1070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2022</v>
      </c>
      <c r="D3" s="360">
        <f>'(F10) Shpenzimet klasifik. ekon'!F16</f>
        <v>2023</v>
      </c>
      <c r="E3" s="360">
        <f>'(F10) Shpenzimet klasifik. ekon'!G16</f>
        <v>2024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445335</v>
      </c>
      <c r="D4" s="359">
        <f>'(F10) Shpenzimet klasifik. ekon'!F68</f>
        <v>447479</v>
      </c>
      <c r="E4" s="359">
        <f>'(F10) Shpenzimet klasifik. ekon'!G68</f>
        <v>447985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74375</v>
      </c>
      <c r="D5" s="359">
        <f>'(F10) Shpenzimet klasifik. ekon'!F69</f>
        <v>74675</v>
      </c>
      <c r="E5" s="359">
        <f>'(F10) Shpenzimet klasifik. ekon'!G69</f>
        <v>75225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1083034</v>
      </c>
      <c r="D6" s="359">
        <f>'(F10) Shpenzimet klasifik. ekon'!F70</f>
        <v>1087034</v>
      </c>
      <c r="E6" s="359">
        <f>'(F10) Shpenzimet klasifik. ekon'!G70</f>
        <v>1084442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0</v>
      </c>
      <c r="D10" s="359">
        <f>'(F10) Shpenzimet klasifik. ekon'!F74</f>
        <v>0</v>
      </c>
      <c r="E10" s="359">
        <f>'(F10) Shpenzimet klasifik. ekon'!G74</f>
        <v>0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134027</v>
      </c>
      <c r="D11" s="359">
        <f>'(F10) Shpenzimet klasifik. ekon'!F75</f>
        <v>146527</v>
      </c>
      <c r="E11" s="359">
        <f>'(F10) Shpenzimet klasifik. ekon'!G75</f>
        <v>179226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3000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1"/>
    </row>
    <row r="32" spans="1:10" ht="21" x14ac:dyDescent="0.25">
      <c r="A32" s="1068" t="str">
        <f>'(G1) Fjalori'!A491</f>
        <v>(F11) SHPENZIMET SIPAS KLASIFIKIMIT EKONOMIK (BRUTO)</v>
      </c>
      <c r="B32" s="1069"/>
      <c r="C32" s="1069"/>
      <c r="D32" s="1069"/>
      <c r="E32" s="1069"/>
      <c r="F32" s="1069"/>
      <c r="G32" s="1069"/>
      <c r="H32" s="1069"/>
      <c r="I32" s="1069"/>
      <c r="J32" s="1070"/>
    </row>
  </sheetData>
  <sheetProtection algorithmName="SHA-512" hashValue="ugvGTN/oretqMykt8wqVAleg7tKvCFWfP/k1a4abvWAMvekbCNse0zR6Fw11fIp473cITKXWQg8D3SERLkHUTg==" saltValue="8SdxS717tPgjAppmo2FNN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68" t="str">
        <f>'(G1) Fjalori'!A460</f>
        <v>(F12) DETYRIMET E PRAPAMBETURA PËR VITIN E KALUAR</v>
      </c>
      <c r="B1" s="1069"/>
      <c r="C1" s="1069"/>
      <c r="D1" s="1069"/>
      <c r="E1" s="1069"/>
      <c r="F1" s="1069"/>
      <c r="G1" s="1069"/>
      <c r="H1" s="1069"/>
      <c r="I1" s="1070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2021</v>
      </c>
      <c r="C5" s="303">
        <f>'(C3) Detyrimet e prapambetura'!H5</f>
        <v>2022</v>
      </c>
      <c r="D5" s="303">
        <f>C5</f>
        <v>2022</v>
      </c>
      <c r="E5" s="303">
        <f>'(C3) Detyrimet e prapambetura'!K5</f>
        <v>2023</v>
      </c>
      <c r="F5" s="303">
        <f>E5</f>
        <v>2023</v>
      </c>
      <c r="G5" s="303">
        <f>'(C3) Detyrimet e prapambetura'!N5</f>
        <v>2024</v>
      </c>
      <c r="H5" s="303">
        <f t="shared" ref="H5" si="0">G5</f>
        <v>2024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prapambetura'!F37</f>
        <v>96096</v>
      </c>
      <c r="C7" s="303">
        <f>'(C3) Detyrimet e prapambetura'!H37</f>
        <v>66480</v>
      </c>
      <c r="D7" s="303">
        <f>'(C3) Detyrimet e prapambetura'!I37</f>
        <v>29616</v>
      </c>
      <c r="E7" s="303">
        <f>'(C3) Detyrimet e prapambetura'!K37</f>
        <v>20687</v>
      </c>
      <c r="F7" s="303">
        <f>'(C3) Detyrimet e prapambetura'!L37</f>
        <v>8929</v>
      </c>
      <c r="G7" s="303">
        <f>'(C3) Detyrimet e prapambetura'!N37</f>
        <v>8929</v>
      </c>
      <c r="H7" s="303">
        <f>'(C3) Detyrimet e prapambetura'!O37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qGyxkZ5KZ/ZUfkH39Rn5YKkapakFw7850ej0rwL/wt3YQLqPRHT4/bxHTginF79/1KMHCkehXDLBJM/2pM7ERg==" saltValue="t+NMIc5jLyHK3FkHLOdEH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57" t="str">
        <f>'(G1) Fjalori'!A462</f>
        <v>(F13) STATISTIKA FINANCIARE TË PËRGJITHSHME</v>
      </c>
      <c r="B1" s="858"/>
      <c r="C1" s="858"/>
      <c r="D1" s="858"/>
      <c r="E1" s="858"/>
      <c r="F1" s="858"/>
      <c r="G1" s="859"/>
    </row>
    <row r="2" spans="1:7" s="50" customFormat="1" x14ac:dyDescent="0.2"/>
    <row r="3" spans="1:7" x14ac:dyDescent="0.2">
      <c r="A3" s="66"/>
      <c r="B3" s="160">
        <f>'(A1) Titulli'!B39</f>
        <v>2019</v>
      </c>
      <c r="C3" s="160">
        <f>'(B1)Informacion i përgjithshëm '!B6</f>
        <v>2020</v>
      </c>
      <c r="D3" s="161">
        <f>'(B1)Informacion i përgjithshëm '!B7</f>
        <v>2021</v>
      </c>
      <c r="E3" s="162">
        <f>'(B1)Informacion i përgjithshëm '!B8</f>
        <v>2022</v>
      </c>
      <c r="F3" s="162">
        <f>'(B1)Informacion i përgjithshëm '!B9</f>
        <v>2023</v>
      </c>
      <c r="G3" s="162">
        <f>'(B1)Informacion i përgjithshëm '!B10</f>
        <v>2024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1521488</v>
      </c>
      <c r="C5" s="29">
        <f>'(F1) Burimet buxhetore'!E95</f>
        <v>1715615</v>
      </c>
      <c r="D5" s="29">
        <f>'(F1) Burimet buxhetore'!F95</f>
        <v>1759743</v>
      </c>
      <c r="E5" s="29">
        <f>'(F1) Burimet buxhetore'!G95</f>
        <v>1760043.3900000001</v>
      </c>
      <c r="F5" s="29">
        <f>'(F1) Burimet buxhetore'!H95</f>
        <v>1782629.3900000001</v>
      </c>
      <c r="G5" s="29">
        <f>'(F1) Burimet buxhetore'!I95</f>
        <v>1811634.3900000001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1521488</v>
      </c>
      <c r="C7" s="29">
        <f>'(F10) Shpenzimet klasifik. ekon'!C18</f>
        <v>1715615</v>
      </c>
      <c r="D7" s="29">
        <f>'(F10) Shpenzimet klasifik. ekon'!D18</f>
        <v>1759743</v>
      </c>
      <c r="E7" s="29">
        <f>'(F10) Shpenzimet klasifik. ekon'!E18</f>
        <v>1736771</v>
      </c>
      <c r="F7" s="29">
        <f>'(F10) Shpenzimet klasifik. ekon'!F18</f>
        <v>1758715</v>
      </c>
      <c r="G7" s="29">
        <f>'(F10) Shpenzimet klasifik. ekon'!G18</f>
        <v>1786878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23272.001310000007</v>
      </c>
      <c r="F9" s="29">
        <f>'(D1) Tavanet buxhetore'!D494</f>
        <v>23914.264310000006</v>
      </c>
      <c r="G9" s="29">
        <f>'(D1) Tavanet buxhetore'!E494</f>
        <v>24755.409310000006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0</v>
      </c>
      <c r="C12" s="337">
        <f t="shared" si="0"/>
        <v>0</v>
      </c>
      <c r="D12" s="337">
        <f t="shared" si="0"/>
        <v>0</v>
      </c>
      <c r="E12" s="337">
        <f>E5-E7-E9</f>
        <v>0.38869000012346078</v>
      </c>
      <c r="F12" s="337">
        <f>F5-F7-F9</f>
        <v>0.12569000012445031</v>
      </c>
      <c r="G12" s="337">
        <f>G5-G7-G9</f>
        <v>0.98069000012401375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I64GI6Y2/VidXmyIlM6loLgoYc7cQ1BXRVtZpIm1aVqpLmb1zODvUnUe0v5sheEsy3tEdPLRyPrB6yjye5Gc7g==" saltValue="J7Lm2QbUCRT2VM9h2lKdl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57" t="str">
        <f>'(G1) Fjalori'!A470</f>
        <v>(F14) INDIKATORËT</v>
      </c>
      <c r="B1" s="858"/>
      <c r="C1" s="858"/>
      <c r="D1" s="858"/>
      <c r="E1" s="858"/>
      <c r="F1" s="858"/>
      <c r="G1" s="858"/>
      <c r="H1" s="858"/>
      <c r="I1" s="859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2019</v>
      </c>
      <c r="D3" s="160">
        <f>'(B1)Informacion i përgjithshëm '!B6</f>
        <v>2020</v>
      </c>
      <c r="E3" s="161">
        <f>'(B1)Informacion i përgjithshëm '!B7</f>
        <v>2021</v>
      </c>
      <c r="F3" s="162">
        <f>'(B1)Informacion i përgjithshëm '!B8</f>
        <v>2022</v>
      </c>
      <c r="G3" s="162">
        <f>'(B1)Informacion i përgjithshëm '!B9</f>
        <v>2023</v>
      </c>
      <c r="H3" s="162">
        <f>'(B1)Informacion i përgjithshëm '!B10</f>
        <v>2024</v>
      </c>
    </row>
    <row r="5" spans="1:9" x14ac:dyDescent="0.2">
      <c r="A5" s="244">
        <v>1</v>
      </c>
      <c r="B5" s="1079" t="str">
        <f>'(G1) Fjalori'!A472</f>
        <v>Norma e totalit të shpenzimeve ndaj totalit të të ardhurave</v>
      </c>
      <c r="C5" s="1080"/>
      <c r="D5" s="1080"/>
      <c r="E5" s="1080"/>
      <c r="F5" s="1080"/>
      <c r="G5" s="1080"/>
      <c r="H5" s="1081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1</v>
      </c>
      <c r="D6" s="116">
        <f>'(F13) Përmbledhja e të dhënave'!C7/'(F13) Përmbledhja e të dhënave'!C5</f>
        <v>1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0.99999977915885352</v>
      </c>
      <c r="G6" s="118">
        <f>('(F13) Përmbledhja e të dhënave'!F7+'(F13) Përmbledhja e të dhënave'!F9)/'(F13) Përmbledhja e të dhënave'!F5</f>
        <v>0.99999992949179406</v>
      </c>
      <c r="H6" s="118">
        <f>('(F13) Përmbledhja e të dhënave'!G7+'(F13) Përmbledhja e të dhënave'!G9)/'(F13) Përmbledhja e të dhënave'!G5</f>
        <v>0.99999945867112838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79" t="str">
        <f>'(G1) Fjalori'!A473</f>
        <v>Norma e të ardhurave nga taksat dhe tarifat vendore ndaj totalit të të ardhurave</v>
      </c>
      <c r="C8" s="1080"/>
      <c r="D8" s="1080"/>
      <c r="E8" s="1080"/>
      <c r="F8" s="1080"/>
      <c r="G8" s="1080"/>
      <c r="H8" s="1081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5.7585074611170115E-2</v>
      </c>
      <c r="D9" s="116">
        <f>('(F1) Burimet buxhetore'!E6+'(F1) Burimet buxhetore'!E26)/'(F1) Burimet buxhetore'!E95</f>
        <v>3.8114029079950922E-2</v>
      </c>
      <c r="E9" s="117">
        <f>('(F1) Burimet buxhetore'!F6+'(F1) Burimet buxhetore'!F26)/'(F1) Burimet buxhetore'!F95</f>
        <v>7.0047160295565888E-2</v>
      </c>
      <c r="F9" s="118">
        <f>('(F1) Burimet buxhetore'!G6+'(F1) Burimet buxhetore'!G26)/'(F1) Burimet buxhetore'!G95</f>
        <v>7.5830738468328329E-2</v>
      </c>
      <c r="G9" s="118">
        <f>('(F1) Burimet buxhetore'!H6+'(F1) Burimet buxhetore'!H26)/'(F1) Burimet buxhetore'!H95</f>
        <v>7.4869959369400954E-2</v>
      </c>
      <c r="H9" s="118">
        <f>('(F1) Burimet buxhetore'!I6+'(F1) Burimet buxhetore'!I26)/'(F1) Burimet buxhetore'!I95</f>
        <v>7.3671261009789074E-2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79" t="str">
        <f>'(G1) Fjalori'!A475</f>
        <v>Norma e të ardhurave nga burimet e veta ndaj totalit të të ardhurave</v>
      </c>
      <c r="C11" s="1080"/>
      <c r="D11" s="1080"/>
      <c r="E11" s="1080"/>
      <c r="F11" s="1080"/>
      <c r="G11" s="1080"/>
      <c r="H11" s="1081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7.8475807893325478E-2</v>
      </c>
      <c r="D12" s="116">
        <f>'(F1) Burimet buxhetore'!E5/'(F1) Burimet buxhetore'!E95</f>
        <v>6.8703642717043156E-2</v>
      </c>
      <c r="E12" s="117">
        <f>'(F1) Burimet buxhetore'!F5/'(F1) Burimet buxhetore'!F95</f>
        <v>8.5844921673221608E-2</v>
      </c>
      <c r="F12" s="118">
        <f>'(F1) Burimet buxhetore'!G5/'(F1) Burimet buxhetore'!G95</f>
        <v>8.5830491940315182E-2</v>
      </c>
      <c r="G12" s="118">
        <f>'(F1) Burimet buxhetore'!H5/'(F1) Burimet buxhetore'!H95</f>
        <v>8.4743015484559023E-2</v>
      </c>
      <c r="H12" s="118">
        <f>'(F1) Burimet buxhetore'!I5/'(F1) Burimet buxhetore'!I95</f>
        <v>8.338624549956794E-2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79" t="str">
        <f>'(G1) Fjalori'!A477</f>
        <v>Norma e shpenzimeve kapitale ndaj totalit të shpenzimeve</v>
      </c>
      <c r="C14" s="1080"/>
      <c r="D14" s="1080"/>
      <c r="E14" s="1080"/>
      <c r="F14" s="1080"/>
      <c r="G14" s="1080"/>
      <c r="H14" s="1081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7.7170219908093807E-2</v>
      </c>
      <c r="G15" s="118">
        <f>'(F10) Shpenzimet klasifik. ekon'!F75/'(F10) Shpenzimet klasifik. ekon'!F80</f>
        <v>8.3314806549099771E-2</v>
      </c>
      <c r="H15" s="118">
        <f>'(F10) Shpenzimet klasifik. ekon'!G75/'(F10) Shpenzimet klasifik. ekon'!G80</f>
        <v>0.10030119571677529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79" t="str">
        <f>'(G1) Fjalori'!A480</f>
        <v>Norma e shpenzimeve korrente ndaj shpenzimeve totale</v>
      </c>
      <c r="C17" s="1080"/>
      <c r="D17" s="1080"/>
      <c r="E17" s="1080"/>
      <c r="F17" s="1080"/>
      <c r="G17" s="1080"/>
      <c r="H17" s="1081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0.92282978009190619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0.91497940257517563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0.89969880428322468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79" t="str">
        <f>'(G1) Fjalori'!A479</f>
        <v>Normal e shpenzimeve të personelit ndaj totalit të shpenizmeve</v>
      </c>
      <c r="C20" s="1080"/>
      <c r="D20" s="1080"/>
      <c r="E20" s="1080"/>
      <c r="F20" s="1080"/>
      <c r="G20" s="1080"/>
      <c r="H20" s="1081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0.29923922036929451</v>
      </c>
      <c r="G21" s="118">
        <f>('(F10) Shpenzimet klasifik. ekon'!F68+'(F10) Shpenzimet klasifik. ekon'!F69)/'(F10) Shpenzimet klasifik. ekon'!F80</f>
        <v>0.2968951763077019</v>
      </c>
      <c r="H21" s="118">
        <f>('(F10) Shpenzimet klasifik. ekon'!G68+'(F10) Shpenzimet klasifik. ekon'!G69)/'(F10) Shpenzimet klasifik. ekon'!G80</f>
        <v>0.29280678367521451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79" t="str">
        <f>'(G1) Fjalori'!A483</f>
        <v>Norma e huamarrjes afatgjatë ndaj totalit të të ardhurave</v>
      </c>
      <c r="C23" s="1080"/>
      <c r="D23" s="1080"/>
      <c r="E23" s="1080"/>
      <c r="F23" s="1080"/>
      <c r="G23" s="1080"/>
      <c r="H23" s="1081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79" t="str">
        <f>'(G1) Fjalori'!A484</f>
        <v>Norma e huamarrjes afatgjatë ndaj të ardhurave të veta</v>
      </c>
      <c r="C26" s="1080"/>
      <c r="D26" s="1080"/>
      <c r="E26" s="1080"/>
      <c r="F26" s="1080"/>
      <c r="G26" s="1080"/>
      <c r="H26" s="1081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79" t="str">
        <f>'(G1) Fjalori'!A485</f>
        <v>Norma e detyrimeve të prapambetura ndaj totalit të të ardhurave</v>
      </c>
      <c r="C29" s="1080"/>
      <c r="D29" s="1080"/>
      <c r="E29" s="1080"/>
      <c r="F29" s="1080"/>
      <c r="G29" s="1080"/>
      <c r="H29" s="1081"/>
    </row>
    <row r="30" spans="1:9" x14ac:dyDescent="0.2">
      <c r="A30" s="245"/>
      <c r="B30" s="192"/>
      <c r="D30" s="101"/>
      <c r="E30" s="117">
        <f>'(C3) Detyrimet e prapambetura'!F37/'(F1) Burimet buxhetore'!F95</f>
        <v>5.4607974005295094E-2</v>
      </c>
      <c r="F30" s="118">
        <f>'(C3) Detyrimet e prapambetura'!I37/'(F1) Burimet buxhetore'!G95</f>
        <v>1.6826857887861504E-2</v>
      </c>
      <c r="G30" s="118">
        <f>'(C3) Detyrimet e prapambetura'!L37/'(F1) Burimet buxhetore'!H95</f>
        <v>5.0088930711503638E-3</v>
      </c>
      <c r="H30" s="118">
        <f>'(C3) Detyrimet e prapambetura'!O37/'(F1) Burimet buxhetore'!I95</f>
        <v>0</v>
      </c>
      <c r="I30" s="116" t="e">
        <f>'(C3) Detyrimet e prapambetura'!L37/'(F10)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79" t="str">
        <f>'(G1) Fjalori'!A486</f>
        <v>Norma e shpenzimeve në politikat sociale ndaj totalit të shpenzimeve</v>
      </c>
      <c r="C32" s="1080"/>
      <c r="D32" s="1080"/>
      <c r="E32" s="1080"/>
      <c r="F32" s="1080"/>
      <c r="G32" s="1080"/>
      <c r="H32" s="1081"/>
    </row>
    <row r="33" spans="1:8" x14ac:dyDescent="0.2">
      <c r="A33" s="245"/>
      <c r="B33" s="192"/>
      <c r="C33" s="117">
        <f>'(F6) Shpenzimet sipas funks.bru'!C41/'(F6) Shpenzimet sipas funks.bru'!C43</f>
        <v>0.60351576877372681</v>
      </c>
      <c r="D33" s="117">
        <f>'(F6) Shpenzimet sipas funks.bru'!D41/'(F6) Shpenzimet sipas funks.bru'!D43</f>
        <v>0.64837915266537072</v>
      </c>
      <c r="E33" s="117">
        <f>'(F6) Shpenzimet sipas funks.bru'!E41/'(F6) Shpenzimet sipas funks.bru'!E43</f>
        <v>0.65719653381203957</v>
      </c>
      <c r="F33" s="118">
        <f>'(F6) Shpenzimet sipas funks.bru'!I41/'(F6) Shpenzimet sipas funks.bru'!I43</f>
        <v>0.50586491315116566</v>
      </c>
      <c r="G33" s="118">
        <f>'(F6) Shpenzimet sipas funks.bru'!M41/'(F6) Shpenzimet sipas funks.bru'!M43</f>
        <v>0.50222893673101343</v>
      </c>
      <c r="H33" s="118">
        <f>'(F6) Shpenzimet sipas funks.bru'!Q41/'(F6) Shpenzimet sipas funks.bru'!Q43</f>
        <v>0.49223645104869374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MHx6NprWch4l6HBypNGz/8mt9k+C3mVVH/5da5OfIGgLOBBuEhJ5TFmUaZ0tfxJt1jLEMnnVb3r95STrkkob0A==" saltValue="z64mkLvBhaMpBnxhRZhd7Q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zoomScaleNormal="100" workbookViewId="0">
      <selection activeCell="B29" sqref="B29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57" t="str">
        <f>'(G1) Fjalori'!A489</f>
        <v>(F15) SHPENZIMET KAPITALE SIPAS PROGRAMEVE</v>
      </c>
      <c r="B1" s="858"/>
      <c r="C1" s="858"/>
      <c r="D1" s="858"/>
      <c r="E1" s="858"/>
      <c r="F1" s="858"/>
      <c r="G1" s="858"/>
      <c r="H1" s="859"/>
    </row>
    <row r="2" spans="1:8" x14ac:dyDescent="0.25">
      <c r="A2" s="1082"/>
      <c r="B2" s="1082"/>
      <c r="C2" s="1084"/>
      <c r="D2" s="1084"/>
      <c r="E2" s="1084"/>
      <c r="F2" s="1084"/>
      <c r="G2" s="1084"/>
      <c r="H2" s="1084"/>
    </row>
    <row r="3" spans="1:8" x14ac:dyDescent="0.25">
      <c r="A3" s="1083"/>
      <c r="B3" s="1083"/>
      <c r="C3" s="679">
        <f>'(C1b)Shpenzimet vitet e kaluar '!D5</f>
        <v>2019</v>
      </c>
      <c r="D3" s="679">
        <f>'(C1b)Shpenzimet vitet e kaluar '!E5</f>
        <v>2020</v>
      </c>
      <c r="E3" s="679">
        <f>'(C1b)Shpenzimet vitet e kaluar '!F5</f>
        <v>2021</v>
      </c>
      <c r="F3" s="680">
        <f>'(A1) Titulli'!B42</f>
        <v>2022</v>
      </c>
      <c r="G3" s="680">
        <f>'(A1) Titulli'!B43</f>
        <v>2023</v>
      </c>
      <c r="H3" s="680">
        <f>'(A1) Titulli'!B44</f>
        <v>2024</v>
      </c>
    </row>
    <row r="4" spans="1:8" x14ac:dyDescent="0.25">
      <c r="A4" s="721" t="str">
        <f>'(F2) Shpenzimet sipas nenfunk.b'!A6</f>
        <v>Nënfunksioni 1</v>
      </c>
      <c r="B4" s="722" t="str">
        <f>' (F4)Shpenzimet sipas nenf.neto'!B6</f>
        <v>011 Organet ekzekutive dhe legjislative, për çështjet financiare dhe fiskale, çështjet e brendshme</v>
      </c>
      <c r="C4" s="723">
        <f>'(C1b)Shpenzimet vitet e kaluar '!D15</f>
        <v>0</v>
      </c>
      <c r="D4" s="723">
        <f>'(C1b)Shpenzimet vitet e kaluar '!E15</f>
        <v>2373</v>
      </c>
      <c r="E4" s="723">
        <f>'(C1b)Shpenzimet vitet e kaluar '!F15</f>
        <v>4000</v>
      </c>
      <c r="F4" s="724">
        <f>'(F2) Shpenzimet sipas nenfunk.b'!H6</f>
        <v>4000</v>
      </c>
      <c r="G4" s="725">
        <f>'(F2) Shpenzimet sipas nenfunk.b'!L6</f>
        <v>4000</v>
      </c>
      <c r="H4" s="725">
        <f>'(F2) Shpenzimet sipas nenfunk.b'!P6</f>
        <v>4000</v>
      </c>
    </row>
    <row r="5" spans="1:8" x14ac:dyDescent="0.25">
      <c r="A5" s="672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0</v>
      </c>
      <c r="D5" s="467">
        <f>'(C1b)Shpenzimet vitet e kaluar '!E9</f>
        <v>2373</v>
      </c>
      <c r="E5" s="467">
        <f>'(C1b)Shpenzimet vitet e kaluar '!F9</f>
        <v>4000</v>
      </c>
      <c r="F5" s="80">
        <f>'(F2) Shpenzimet sipas nenfunk.b'!H7</f>
        <v>4000</v>
      </c>
      <c r="G5" s="459">
        <f>'(F2) Shpenzimet sipas nenfunk.b'!L7</f>
        <v>4000</v>
      </c>
      <c r="H5" s="459">
        <f>'(F2) Shpenzimet sipas nenfunk.b'!P7</f>
        <v>4000</v>
      </c>
    </row>
    <row r="6" spans="1:8" x14ac:dyDescent="0.25">
      <c r="A6" s="672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0</v>
      </c>
      <c r="E6" s="467">
        <f>'(C1b)Shpenzimet vitet e kaluar '!F10</f>
        <v>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2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1" t="str">
        <f>'(F2) Shpenzimet sipas nenfunk.b'!A10</f>
        <v>Nënfunksioni 2</v>
      </c>
      <c r="B8" s="722" t="str">
        <f>' (F4)Shpenzimet sipas nenf.neto'!B10</f>
        <v>017 Shërbime të  huamarrjes vendore</v>
      </c>
      <c r="C8" s="723">
        <f>'(C1b)Shpenzimet vitet e kaluar '!D22</f>
        <v>0</v>
      </c>
      <c r="D8" s="723">
        <f>'(C1b)Shpenzimet vitet e kaluar '!E22</f>
        <v>0</v>
      </c>
      <c r="E8" s="723">
        <f>'(C1b)Shpenzimet vitet e kaluar '!F22</f>
        <v>0</v>
      </c>
      <c r="F8" s="724">
        <f>'(F2) Shpenzimet sipas nenfunk.b'!H10</f>
        <v>0</v>
      </c>
      <c r="G8" s="725">
        <f>'(F2) Shpenzimet sipas nenfunk.b'!L10</f>
        <v>0</v>
      </c>
      <c r="H8" s="725">
        <f>'(F2) Shpenzimet sipas nenfunk.b'!P10</f>
        <v>0</v>
      </c>
    </row>
    <row r="9" spans="1:8" hidden="1" x14ac:dyDescent="0.25">
      <c r="A9" s="672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2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2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1" t="str">
        <f>'(F2) Shpenzimet sipas nenfunk.b'!A14</f>
        <v>Nënfunksioni 3</v>
      </c>
      <c r="B12" s="722" t="str">
        <f>' (F4)Shpenzimet sipas nenf.neto'!B14</f>
        <v>031 Shërbimet Policore</v>
      </c>
      <c r="C12" s="723">
        <f>'(C1b)Shpenzimet vitet e kaluar '!D28</f>
        <v>0</v>
      </c>
      <c r="D12" s="723">
        <f>'(C1b)Shpenzimet vitet e kaluar '!E28</f>
        <v>0</v>
      </c>
      <c r="E12" s="723">
        <f>'(C1b)Shpenzimet vitet e kaluar '!F28</f>
        <v>0</v>
      </c>
      <c r="F12" s="724">
        <f>'(F2) Shpenzimet sipas nenfunk.b'!H14</f>
        <v>0</v>
      </c>
      <c r="G12" s="725">
        <f>'(F2) Shpenzimet sipas nenfunk.b'!L14</f>
        <v>0</v>
      </c>
      <c r="H12" s="725">
        <f>'(F2) Shpenzimet sipas nenfunk.b'!P14</f>
        <v>0</v>
      </c>
    </row>
    <row r="13" spans="1:8" x14ac:dyDescent="0.25">
      <c r="A13" s="672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1" t="str">
        <f>'(F2) Shpenzimet sipas nenfunk.b'!A16</f>
        <v>Nënfunksioni 4</v>
      </c>
      <c r="B14" s="722" t="str">
        <f>' (F4)Shpenzimet sipas nenf.neto'!B16</f>
        <v>032 Shërbimet e mbrojtjes ndaj zjarrit</v>
      </c>
      <c r="C14" s="723">
        <f>'(C1b)Shpenzimet vitet e kaluar '!D33</f>
        <v>0</v>
      </c>
      <c r="D14" s="723">
        <f>'(C1b)Shpenzimet vitet e kaluar '!E33</f>
        <v>0</v>
      </c>
      <c r="E14" s="723">
        <f>'(C1b)Shpenzimet vitet e kaluar '!F33</f>
        <v>0</v>
      </c>
      <c r="F14" s="724">
        <f>'(F2) Shpenzimet sipas nenfunk.b'!H16</f>
        <v>0</v>
      </c>
      <c r="G14" s="725">
        <f>'(F2) Shpenzimet sipas nenfunk.b'!L16</f>
        <v>0</v>
      </c>
      <c r="H14" s="725">
        <f>'(F2) Shpenzimet sipas nenfunk.b'!P16</f>
        <v>0</v>
      </c>
    </row>
    <row r="15" spans="1:8" x14ac:dyDescent="0.25">
      <c r="A15" s="672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0</v>
      </c>
      <c r="E15" s="467">
        <f>'(C1b)Shpenzimet vitet e kaluar '!F30</f>
        <v>0</v>
      </c>
      <c r="F15" s="80">
        <f>'(F2) Shpenzimet sipas nenfunk.b'!H17</f>
        <v>0</v>
      </c>
      <c r="G15" s="459">
        <f>'(F2) Shpenzimet sipas nenfunk.b'!L17</f>
        <v>0</v>
      </c>
      <c r="H15" s="459">
        <f>'(F2) Shpenzimet sipas nenfunk.b'!P17</f>
        <v>0</v>
      </c>
    </row>
    <row r="16" spans="1:8" x14ac:dyDescent="0.25">
      <c r="A16" s="721" t="str">
        <f>'(F2) Shpenzimet sipas nenfunk.b'!A18</f>
        <v>Nënfunksioni 5</v>
      </c>
      <c r="B16" s="722" t="str">
        <f>' (F4)Shpenzimet sipas nenf.neto'!B18</f>
        <v>036 Marrdheniet me komunitetin</v>
      </c>
      <c r="C16" s="723">
        <f>'(C1b)Shpenzimet vitet e kaluar '!D38</f>
        <v>0</v>
      </c>
      <c r="D16" s="723">
        <f>'(C1b)Shpenzimet vitet e kaluar '!E38</f>
        <v>0</v>
      </c>
      <c r="E16" s="723">
        <f>'(C1b)Shpenzimet vitet e kaluar '!F38</f>
        <v>0</v>
      </c>
      <c r="F16" s="724">
        <f>'(F2) Shpenzimet sipas nenfunk.b'!H18</f>
        <v>0</v>
      </c>
      <c r="G16" s="725">
        <f>'(F2) Shpenzimet sipas nenfunk.b'!L18</f>
        <v>0</v>
      </c>
      <c r="H16" s="725">
        <f>'(F2) Shpenzimet sipas nenfunk.b'!P18</f>
        <v>0</v>
      </c>
    </row>
    <row r="17" spans="1:8" x14ac:dyDescent="0.25">
      <c r="A17" s="672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1" t="str">
        <f>'(F2) Shpenzimet sipas nenfunk.b'!A20</f>
        <v>Nënfunksioni 6</v>
      </c>
      <c r="B18" s="722" t="str">
        <f>' (F4)Shpenzimet sipas nenf.neto'!B20</f>
        <v>041 Çështjet e përgjithshme ekonomike, tregtare dhe të punës</v>
      </c>
      <c r="C18" s="723">
        <f>'(C1b)Shpenzimet vitet e kaluar '!D46</f>
        <v>0</v>
      </c>
      <c r="D18" s="723">
        <f>'(C1b)Shpenzimet vitet e kaluar '!E46</f>
        <v>0</v>
      </c>
      <c r="E18" s="723">
        <f>'(C1b)Shpenzimet vitet e kaluar '!F46</f>
        <v>0</v>
      </c>
      <c r="F18" s="724">
        <f>'(F2) Shpenzimet sipas nenfunk.b'!H20</f>
        <v>0</v>
      </c>
      <c r="G18" s="725">
        <f>'(F2) Shpenzimet sipas nenfunk.b'!L20</f>
        <v>0</v>
      </c>
      <c r="H18" s="725">
        <f>'(F2) Shpenzimet sipas nenfunk.b'!P20</f>
        <v>0</v>
      </c>
    </row>
    <row r="19" spans="1:8" hidden="1" x14ac:dyDescent="0.25">
      <c r="A19" s="672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2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2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2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1" t="str">
        <f>'(F2) Shpenzimet sipas nenfunk.b'!A25</f>
        <v>Nënfunksioni 7</v>
      </c>
      <c r="B23" s="722" t="str">
        <f>' (F4)Shpenzimet sipas nenf.neto'!B25</f>
        <v>042 Bujqësia, pyjet, peshkimi dhe gjuetia</v>
      </c>
      <c r="C23" s="723">
        <f>'(C1b)Shpenzimet vitet e kaluar '!D54</f>
        <v>15579</v>
      </c>
      <c r="D23" s="723">
        <f>'(C1b)Shpenzimet vitet e kaluar '!E54</f>
        <v>16497</v>
      </c>
      <c r="E23" s="723">
        <f>'(C1b)Shpenzimet vitet e kaluar '!F54</f>
        <v>14134</v>
      </c>
      <c r="F23" s="724">
        <f>'(F2) Shpenzimet sipas nenfunk.b'!H25</f>
        <v>14132</v>
      </c>
      <c r="G23" s="725">
        <f>'(F2) Shpenzimet sipas nenfunk.b'!L25</f>
        <v>16632</v>
      </c>
      <c r="H23" s="725">
        <f>'(F2) Shpenzimet sipas nenfunk.b'!P25</f>
        <v>14132</v>
      </c>
    </row>
    <row r="24" spans="1:8" x14ac:dyDescent="0.25">
      <c r="A24" s="672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2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2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15579</v>
      </c>
      <c r="D26" s="467">
        <f>'(C1b)Shpenzimet vitet e kaluar '!E51</f>
        <v>15297</v>
      </c>
      <c r="E26" s="467">
        <f>'(C1b)Shpenzimet vitet e kaluar '!F51</f>
        <v>14134</v>
      </c>
      <c r="F26" s="80">
        <f>'(F2) Shpenzimet sipas nenfunk.b'!H28</f>
        <v>14132</v>
      </c>
      <c r="G26" s="459">
        <f>'(F2) Shpenzimet sipas nenfunk.b'!L28</f>
        <v>16632</v>
      </c>
      <c r="H26" s="459">
        <f>'(F2) Shpenzimet sipas nenfunk.b'!P28</f>
        <v>14132</v>
      </c>
    </row>
    <row r="27" spans="1:8" x14ac:dyDescent="0.25">
      <c r="A27" s="672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1200</v>
      </c>
      <c r="E27" s="467">
        <f>'(C1b)Shpenzimet vitet e kaluar '!F52</f>
        <v>0</v>
      </c>
      <c r="F27" s="80">
        <f>'(F2) Shpenzimet sipas nenfunk.b'!H29</f>
        <v>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1" t="str">
        <f>'(F2) Shpenzimet sipas nenfunk.b'!A30</f>
        <v>Nënfunksioni 8</v>
      </c>
      <c r="B28" s="722" t="str">
        <f>' (F4)Shpenzimet sipas nenf.neto'!B30</f>
        <v>045 Trasporti</v>
      </c>
      <c r="C28" s="723">
        <f>'(C1b)Shpenzimet vitet e kaluar '!D60</f>
        <v>25689</v>
      </c>
      <c r="D28" s="723">
        <f>'(C1b)Shpenzimet vitet e kaluar '!E60</f>
        <v>53907</v>
      </c>
      <c r="E28" s="723">
        <f>'(C1b)Shpenzimet vitet e kaluar '!F60</f>
        <v>88487</v>
      </c>
      <c r="F28" s="724">
        <f>'(F2) Shpenzimet sipas nenfunk.b'!H30</f>
        <v>88487</v>
      </c>
      <c r="G28" s="725">
        <f>'(F2) Shpenzimet sipas nenfunk.b'!L30</f>
        <v>98487</v>
      </c>
      <c r="H28" s="725">
        <f>'(F2) Shpenzimet sipas nenfunk.b'!P30</f>
        <v>128486</v>
      </c>
    </row>
    <row r="29" spans="1:8" x14ac:dyDescent="0.25">
      <c r="A29" s="672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25689</v>
      </c>
      <c r="D29" s="467">
        <f>'(C1b)Shpenzimet vitet e kaluar '!E56</f>
        <v>53907</v>
      </c>
      <c r="E29" s="467">
        <f>'(C1b)Shpenzimet vitet e kaluar '!F56</f>
        <v>88487</v>
      </c>
      <c r="F29" s="80">
        <f>'(F2) Shpenzimet sipas nenfunk.b'!H31</f>
        <v>88487</v>
      </c>
      <c r="G29" s="459">
        <f>'(F2) Shpenzimet sipas nenfunk.b'!L31</f>
        <v>98487</v>
      </c>
      <c r="H29" s="459">
        <f>'(F2) Shpenzimet sipas nenfunk.b'!P31</f>
        <v>128486</v>
      </c>
    </row>
    <row r="30" spans="1:8" hidden="1" x14ac:dyDescent="0.25">
      <c r="A30" s="672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2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1" t="str">
        <f>'(F2) Shpenzimet sipas nenfunk.b'!A34</f>
        <v>Nënfunksioni 9</v>
      </c>
      <c r="B32" s="722" t="str">
        <f>' (F4)Shpenzimet sipas nenf.neto'!B34</f>
        <v>047 Industri të tjera</v>
      </c>
      <c r="C32" s="723">
        <f>'(C1b)Shpenzimet vitet e kaluar '!D66</f>
        <v>0</v>
      </c>
      <c r="D32" s="723">
        <f>'(C1b)Shpenzimet vitet e kaluar '!E66</f>
        <v>0</v>
      </c>
      <c r="E32" s="723">
        <f>'(C1b)Shpenzimet vitet e kaluar '!F66</f>
        <v>0</v>
      </c>
      <c r="F32" s="724">
        <f>'(F2) Shpenzimet sipas nenfunk.b'!H34</f>
        <v>0</v>
      </c>
      <c r="G32" s="725">
        <f>'(F2) Shpenzimet sipas nenfunk.b'!L34</f>
        <v>0</v>
      </c>
      <c r="H32" s="725">
        <f>'(F2) Shpenzimet sipas nenfunk.b'!P34</f>
        <v>0</v>
      </c>
    </row>
    <row r="33" spans="1:8" x14ac:dyDescent="0.25">
      <c r="A33" s="672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2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1" t="str">
        <f>'(F2) Shpenzimet sipas nenfunk.b'!A37</f>
        <v>Nënfunksioni 10</v>
      </c>
      <c r="B35" s="722" t="str">
        <f>' (F4)Shpenzimet sipas nenf.neto'!B37</f>
        <v>051 Menaxhimi i i mbetjeve</v>
      </c>
      <c r="C35" s="723">
        <f>'(C1b)Shpenzimet vitet e kaluar '!D72</f>
        <v>0</v>
      </c>
      <c r="D35" s="723">
        <f>'(C1b)Shpenzimet vitet e kaluar '!E72</f>
        <v>0</v>
      </c>
      <c r="E35" s="723">
        <f>'(C1b)Shpenzimet vitet e kaluar '!F72</f>
        <v>0</v>
      </c>
      <c r="F35" s="724">
        <f>'(F2) Shpenzimet sipas nenfunk.b'!H37</f>
        <v>0</v>
      </c>
      <c r="G35" s="725">
        <f>'(F2) Shpenzimet sipas nenfunk.b'!L37</f>
        <v>0</v>
      </c>
      <c r="H35" s="725">
        <f>'(F2) Shpenzimet sipas nenfunk.b'!P37</f>
        <v>0</v>
      </c>
    </row>
    <row r="36" spans="1:8" x14ac:dyDescent="0.25">
      <c r="A36" s="672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0</v>
      </c>
      <c r="E36" s="467">
        <f>'(C1b)Shpenzimet vitet e kaluar '!F69</f>
        <v>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1" t="str">
        <f>'(F2) Shpenzimet sipas nenfunk.b'!A39</f>
        <v>Nënfunksioni 11</v>
      </c>
      <c r="B37" s="722" t="str">
        <f>' (F4)Shpenzimet sipas nenf.neto'!B39</f>
        <v>052 Menaxhimi i ujrave të zeza</v>
      </c>
      <c r="C37" s="723">
        <f>'(C1b)Shpenzimet vitet e kaluar '!D77</f>
        <v>0</v>
      </c>
      <c r="D37" s="723">
        <f>'(C1b)Shpenzimet vitet e kaluar '!E77</f>
        <v>0</v>
      </c>
      <c r="E37" s="723">
        <f>'(C1b)Shpenzimet vitet e kaluar '!F77</f>
        <v>0</v>
      </c>
      <c r="F37" s="724">
        <f>'(F2) Shpenzimet sipas nenfunk.b'!H39</f>
        <v>0</v>
      </c>
      <c r="G37" s="725">
        <f>'(F2) Shpenzimet sipas nenfunk.b'!L39</f>
        <v>0</v>
      </c>
      <c r="H37" s="725">
        <f>'(F2) Shpenzimet sipas nenfunk.b'!P39</f>
        <v>0</v>
      </c>
    </row>
    <row r="38" spans="1:8" x14ac:dyDescent="0.25">
      <c r="A38" s="672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0</v>
      </c>
      <c r="D38" s="467">
        <f>'(C1b)Shpenzimet vitet e kaluar '!E74</f>
        <v>0</v>
      </c>
      <c r="E38" s="467">
        <f>'(C1b)Shpenzimet vitet e kaluar '!F74</f>
        <v>0</v>
      </c>
      <c r="F38" s="80">
        <f>'(F2) Shpenzimet sipas nenfunk.b'!H40</f>
        <v>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1" t="str">
        <f>'(F2) Shpenzimet sipas nenfunk.b'!A41</f>
        <v>Nënfunksioni 12</v>
      </c>
      <c r="B39" s="722" t="str">
        <f>' (F4)Shpenzimet sipas nenf.neto'!B41</f>
        <v>053 Reduktimi i ndotjes</v>
      </c>
      <c r="C39" s="723">
        <f>'(C1b)Shpenzimet vitet e kaluar '!D82</f>
        <v>0</v>
      </c>
      <c r="D39" s="723">
        <f>'(C1b)Shpenzimet vitet e kaluar '!E82</f>
        <v>0</v>
      </c>
      <c r="E39" s="723">
        <f>'(C1b)Shpenzimet vitet e kaluar '!F82</f>
        <v>0</v>
      </c>
      <c r="F39" s="724">
        <f>'(F2) Shpenzimet sipas nenfunk.b'!H41</f>
        <v>0</v>
      </c>
      <c r="G39" s="725">
        <f>'(F2) Shpenzimet sipas nenfunk.b'!L41</f>
        <v>0</v>
      </c>
      <c r="H39" s="725">
        <f>'(F2) Shpenzimet sipas nenfunk.b'!P41</f>
        <v>0</v>
      </c>
    </row>
    <row r="40" spans="1:8" x14ac:dyDescent="0.25">
      <c r="A40" s="672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1" t="str">
        <f>'(F2) Shpenzimet sipas nenfunk.b'!A43</f>
        <v>Nënfunksioni 13</v>
      </c>
      <c r="B41" s="722" t="str">
        <f>' (F4)Shpenzimet sipas nenf.neto'!B43</f>
        <v>056 Mbrojtja e mjedisit</v>
      </c>
      <c r="C41" s="723">
        <f>'(C1b)Shpenzimet vitet e kaluar '!D87</f>
        <v>0</v>
      </c>
      <c r="D41" s="723">
        <f>'(C1b)Shpenzimet vitet e kaluar '!E87</f>
        <v>0</v>
      </c>
      <c r="E41" s="723">
        <f>'(C1b)Shpenzimet vitet e kaluar '!F87</f>
        <v>0</v>
      </c>
      <c r="F41" s="724">
        <f>'(F2) Shpenzimet sipas nenfunk.b'!H43</f>
        <v>0</v>
      </c>
      <c r="G41" s="725">
        <f>'(F2) Shpenzimet sipas nenfunk.b'!L43</f>
        <v>0</v>
      </c>
      <c r="H41" s="725">
        <f>'(F2) Shpenzimet sipas nenfunk.b'!P43</f>
        <v>0</v>
      </c>
    </row>
    <row r="42" spans="1:8" x14ac:dyDescent="0.25">
      <c r="A42" s="672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2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1" t="str">
        <f>'(F2) Shpenzimet sipas nenfunk.b'!A46</f>
        <v>Nënfunksioni 14</v>
      </c>
      <c r="B44" s="722" t="str">
        <f>' (F4)Shpenzimet sipas nenf.neto'!B46</f>
        <v>061 Urbanistika</v>
      </c>
      <c r="C44" s="723">
        <f>'(C1b)Shpenzimet vitet e kaluar '!D93</f>
        <v>0</v>
      </c>
      <c r="D44" s="723">
        <f>'(C1b)Shpenzimet vitet e kaluar '!E93</f>
        <v>0</v>
      </c>
      <c r="E44" s="723">
        <f>'(C1b)Shpenzimet vitet e kaluar '!F93</f>
        <v>0</v>
      </c>
      <c r="F44" s="724">
        <f>'(F2) Shpenzimet sipas nenfunk.b'!H46</f>
        <v>0</v>
      </c>
      <c r="G44" s="725">
        <f>'(F2) Shpenzimet sipas nenfunk.b'!L46</f>
        <v>0</v>
      </c>
      <c r="H44" s="725">
        <f>'(F2) Shpenzimet sipas nenfunk.b'!P46</f>
        <v>0</v>
      </c>
    </row>
    <row r="45" spans="1:8" x14ac:dyDescent="0.25">
      <c r="A45" s="672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0</v>
      </c>
      <c r="E45" s="467">
        <f>'(C1b)Shpenzimet vitet e kaluar '!F90</f>
        <v>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2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1" t="str">
        <f>'(F2) Shpenzimet sipas nenfunk.b'!A49</f>
        <v>Nënfunksioni 15</v>
      </c>
      <c r="B47" s="722" t="str">
        <f>' (F4)Shpenzimet sipas nenf.neto'!B49</f>
        <v>062 Zhvillimi i komunitetit</v>
      </c>
      <c r="C47" s="723">
        <f>'(C1b)Shpenzimet vitet e kaluar '!D98</f>
        <v>18870</v>
      </c>
      <c r="D47" s="723">
        <f>'(C1b)Shpenzimet vitet e kaluar '!E98</f>
        <v>2430</v>
      </c>
      <c r="E47" s="723">
        <f>'(C1b)Shpenzimet vitet e kaluar '!F98</f>
        <v>21828</v>
      </c>
      <c r="F47" s="724">
        <f>'(F2) Shpenzimet sipas nenfunk.b'!H49</f>
        <v>21818</v>
      </c>
      <c r="G47" s="725">
        <f>'(F2) Shpenzimet sipas nenfunk.b'!L49</f>
        <v>21818</v>
      </c>
      <c r="H47" s="725">
        <f>'(F2) Shpenzimet sipas nenfunk.b'!P49</f>
        <v>25818</v>
      </c>
    </row>
    <row r="48" spans="1:8" x14ac:dyDescent="0.25">
      <c r="A48" s="672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2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18870</v>
      </c>
      <c r="D49" s="467">
        <f>'(C1b)Shpenzimet vitet e kaluar '!E96</f>
        <v>2430</v>
      </c>
      <c r="E49" s="467">
        <f>'(C1b)Shpenzimet vitet e kaluar '!F96</f>
        <v>21828</v>
      </c>
      <c r="F49" s="80">
        <f>'(F2) Shpenzimet sipas nenfunk.b'!H51</f>
        <v>21818</v>
      </c>
      <c r="G49" s="459">
        <f>'(F2) Shpenzimet sipas nenfunk.b'!L51</f>
        <v>21818</v>
      </c>
      <c r="H49" s="459">
        <f>'(F2) Shpenzimet sipas nenfunk.b'!P51</f>
        <v>25818</v>
      </c>
    </row>
    <row r="50" spans="1:8" x14ac:dyDescent="0.25">
      <c r="A50" s="721" t="str">
        <f>'(F2) Shpenzimet sipas nenfunk.b'!A52</f>
        <v>Nënfunksioni 16</v>
      </c>
      <c r="B50" s="722" t="str">
        <f>' (F4)Shpenzimet sipas nenf.neto'!B52</f>
        <v>063 Furnizimi me ujë</v>
      </c>
      <c r="C50" s="723">
        <f>'(C1b)Shpenzimet vitet e kaluar '!D103</f>
        <v>0</v>
      </c>
      <c r="D50" s="723">
        <f>'(C1b)Shpenzimet vitet e kaluar '!E103</f>
        <v>0</v>
      </c>
      <c r="E50" s="723">
        <f>'(C1b)Shpenzimet vitet e kaluar '!F103</f>
        <v>0</v>
      </c>
      <c r="F50" s="724">
        <f>'(F2) Shpenzimet sipas nenfunk.b'!H52</f>
        <v>0</v>
      </c>
      <c r="G50" s="725">
        <f>'(F2) Shpenzimet sipas nenfunk.b'!L52</f>
        <v>0</v>
      </c>
      <c r="H50" s="725">
        <f>'(F2) Shpenzimet sipas nenfunk.b'!P52</f>
        <v>0</v>
      </c>
    </row>
    <row r="51" spans="1:8" x14ac:dyDescent="0.25">
      <c r="A51" s="672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0</v>
      </c>
      <c r="D51" s="467">
        <f>'(C1b)Shpenzimet vitet e kaluar '!E100</f>
        <v>0</v>
      </c>
      <c r="E51" s="467">
        <f>'(C1b)Shpenzimet vitet e kaluar '!F100</f>
        <v>0</v>
      </c>
      <c r="F51" s="80">
        <f>'(F2) Shpenzimet sipas nenfunk.b'!H53</f>
        <v>0</v>
      </c>
      <c r="G51" s="459">
        <f>'(F2) Shpenzimet sipas nenfunk.b'!L53</f>
        <v>0</v>
      </c>
      <c r="H51" s="459">
        <f>'(F2) Shpenzimet sipas nenfunk.b'!P53</f>
        <v>0</v>
      </c>
    </row>
    <row r="52" spans="1:8" x14ac:dyDescent="0.25">
      <c r="A52" s="721" t="str">
        <f>'(F2) Shpenzimet sipas nenfunk.b'!A54</f>
        <v>Nënfunksioni 17</v>
      </c>
      <c r="B52" s="722" t="str">
        <f>' (F4)Shpenzimet sipas nenf.neto'!B54</f>
        <v xml:space="preserve">                               </v>
      </c>
      <c r="C52" s="723">
        <f>'(C1b)Shpenzimet vitet e kaluar '!D108</f>
        <v>0</v>
      </c>
      <c r="D52" s="723">
        <f>'(C1b)Shpenzimet vitet e kaluar '!E108</f>
        <v>0</v>
      </c>
      <c r="E52" s="723">
        <f>'(C1b)Shpenzimet vitet e kaluar '!F108</f>
        <v>0</v>
      </c>
      <c r="F52" s="724">
        <f>'(F2) Shpenzimet sipas nenfunk.b'!H54</f>
        <v>0</v>
      </c>
      <c r="G52" s="725">
        <f>'(F2) Shpenzimet sipas nenfunk.b'!L54</f>
        <v>0</v>
      </c>
      <c r="H52" s="725">
        <f>'(F2) Shpenzimet sipas nenfunk.b'!P54</f>
        <v>1200</v>
      </c>
    </row>
    <row r="53" spans="1:8" x14ac:dyDescent="0.25">
      <c r="A53" s="672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0</v>
      </c>
      <c r="E53" s="467">
        <f>'(C1b)Shpenzimet vitet e kaluar '!F105</f>
        <v>0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1200</v>
      </c>
    </row>
    <row r="54" spans="1:8" x14ac:dyDescent="0.25">
      <c r="A54" s="721" t="str">
        <f>'(F2) Shpenzimet sipas nenfunk.b'!A56</f>
        <v>Nënfunksioni 18</v>
      </c>
      <c r="B54" s="722" t="str">
        <f>' (F4)Shpenzimet sipas nenf.neto'!B56</f>
        <v xml:space="preserve">072 Shërbimet e kujdesit parësor </v>
      </c>
      <c r="C54" s="723">
        <f>'(C1b)Shpenzimet vitet e kaluar '!D114</f>
        <v>0</v>
      </c>
      <c r="D54" s="723">
        <f>'(C1b)Shpenzimet vitet e kaluar '!E114</f>
        <v>0</v>
      </c>
      <c r="E54" s="723">
        <f>'(C1b)Shpenzimet vitet e kaluar '!F114</f>
        <v>0</v>
      </c>
      <c r="F54" s="724">
        <f>'(F2) Shpenzimet sipas nenfunk.b'!H56</f>
        <v>0</v>
      </c>
      <c r="G54" s="725">
        <f>'(F2) Shpenzimet sipas nenfunk.b'!L56</f>
        <v>0</v>
      </c>
      <c r="H54" s="725">
        <f>'(F2) Shpenzimet sipas nenfunk.b'!P56</f>
        <v>0</v>
      </c>
    </row>
    <row r="55" spans="1:8" x14ac:dyDescent="0.25">
      <c r="A55" s="672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1" t="str">
        <f>'(F2) Shpenzimet sipas nenfunk.b'!A58</f>
        <v>Nënfunksioni 19</v>
      </c>
      <c r="B56" s="722" t="str">
        <f>' (F4)Shpenzimet sipas nenf.neto'!B58</f>
        <v>081 Shërbimet rekreative dhe sportive</v>
      </c>
      <c r="C56" s="723">
        <f>'(C1b)Shpenzimet vitet e kaluar '!D120</f>
        <v>0</v>
      </c>
      <c r="D56" s="723">
        <f>'(C1b)Shpenzimet vitet e kaluar '!E120</f>
        <v>1389</v>
      </c>
      <c r="E56" s="723">
        <f>'(C1b)Shpenzimet vitet e kaluar '!F120</f>
        <v>0</v>
      </c>
      <c r="F56" s="724">
        <f>'(F2) Shpenzimet sipas nenfunk.b'!H58</f>
        <v>0</v>
      </c>
      <c r="G56" s="725">
        <f>'(F2) Shpenzimet sipas nenfunk.b'!L58</f>
        <v>0</v>
      </c>
      <c r="H56" s="725">
        <f>'(F2) Shpenzimet sipas nenfunk.b'!P58</f>
        <v>0</v>
      </c>
    </row>
    <row r="57" spans="1:8" hidden="1" x14ac:dyDescent="0.25">
      <c r="A57" s="672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2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1389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0</v>
      </c>
    </row>
    <row r="59" spans="1:8" x14ac:dyDescent="0.25">
      <c r="A59" s="721" t="str">
        <f>'(F2) Shpenzimet sipas nenfunk.b'!A61</f>
        <v>Nënfunksioni 20</v>
      </c>
      <c r="B59" s="722" t="str">
        <f>' (F4)Shpenzimet sipas nenf.neto'!B61</f>
        <v>082 Shërbimet kulturore</v>
      </c>
      <c r="C59" s="723">
        <f>'(C1b)Shpenzimet vitet e kaluar '!D126</f>
        <v>0</v>
      </c>
      <c r="D59" s="723">
        <f>'(C1b)Shpenzimet vitet e kaluar '!E126</f>
        <v>2846</v>
      </c>
      <c r="E59" s="723">
        <f>'(C1b)Shpenzimet vitet e kaluar '!F126</f>
        <v>2640</v>
      </c>
      <c r="F59" s="724">
        <f>'(F2) Shpenzimet sipas nenfunk.b'!H61</f>
        <v>2640</v>
      </c>
      <c r="G59" s="725">
        <f>'(F2) Shpenzimet sipas nenfunk.b'!L61</f>
        <v>2640</v>
      </c>
      <c r="H59" s="725">
        <f>'(F2) Shpenzimet sipas nenfunk.b'!P61</f>
        <v>2640</v>
      </c>
    </row>
    <row r="60" spans="1:8" x14ac:dyDescent="0.25">
      <c r="A60" s="672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0</v>
      </c>
      <c r="D60" s="467">
        <f>'(C1b)Shpenzimet vitet e kaluar '!E122</f>
        <v>2846</v>
      </c>
      <c r="E60" s="467">
        <f>'(C1b)Shpenzimet vitet e kaluar '!F122</f>
        <v>2640</v>
      </c>
      <c r="F60" s="80">
        <f>'(F2) Shpenzimet sipas nenfunk.b'!H62</f>
        <v>2640</v>
      </c>
      <c r="G60" s="459">
        <f>'(F2) Shpenzimet sipas nenfunk.b'!L62</f>
        <v>2640</v>
      </c>
      <c r="H60" s="459">
        <f>'(F2) Shpenzimet sipas nenfunk.b'!P62</f>
        <v>2640</v>
      </c>
    </row>
    <row r="61" spans="1:8" hidden="1" x14ac:dyDescent="0.25">
      <c r="A61" s="672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2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1" t="str">
        <f>'(F2) Shpenzimet sipas nenfunk.b'!A65</f>
        <v>Nënfunksioni 21</v>
      </c>
      <c r="B63" s="722" t="str">
        <f>' (F4)Shpenzimet sipas nenf.neto'!B65</f>
        <v>091 Arsimi bazë dhe parashkollor</v>
      </c>
      <c r="C63" s="723">
        <f>'(C1b)Shpenzimet vitet e kaluar '!D133</f>
        <v>1371</v>
      </c>
      <c r="D63" s="723">
        <f>'(C1b)Shpenzimet vitet e kaluar '!E133</f>
        <v>0</v>
      </c>
      <c r="E63" s="723">
        <f>'(C1b)Shpenzimet vitet e kaluar '!F133</f>
        <v>2948</v>
      </c>
      <c r="F63" s="724">
        <f>'(F2) Shpenzimet sipas nenfunk.b'!H65</f>
        <v>2950</v>
      </c>
      <c r="G63" s="725">
        <f>'(F2) Shpenzimet sipas nenfunk.b'!L65</f>
        <v>2950</v>
      </c>
      <c r="H63" s="725">
        <f>'(F2) Shpenzimet sipas nenfunk.b'!P65</f>
        <v>2950</v>
      </c>
    </row>
    <row r="64" spans="1:8" x14ac:dyDescent="0.25">
      <c r="A64" s="672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1371</v>
      </c>
      <c r="D64" s="467">
        <f>'(C1b)Shpenzimet vitet e kaluar '!E129</f>
        <v>0</v>
      </c>
      <c r="E64" s="467">
        <f>'(C1b)Shpenzimet vitet e kaluar '!F129</f>
        <v>2948</v>
      </c>
      <c r="F64" s="80">
        <f>'(F2) Shpenzimet sipas nenfunk.b'!H66</f>
        <v>2950</v>
      </c>
      <c r="G64" s="459">
        <f>'(F2) Shpenzimet sipas nenfunk.b'!L66</f>
        <v>2950</v>
      </c>
      <c r="H64" s="459">
        <f>'(F2) Shpenzimet sipas nenfunk.b'!P66</f>
        <v>2950</v>
      </c>
    </row>
    <row r="65" spans="1:8" x14ac:dyDescent="0.25">
      <c r="A65" s="721" t="str">
        <f>'(F2) Shpenzimet sipas nenfunk.b'!A67</f>
        <v>Nënfunksioni 22</v>
      </c>
      <c r="B65" s="722" t="str">
        <f>' (F4)Shpenzimet sipas nenf.neto'!B67</f>
        <v>092 Arsimi  parauniversitar</v>
      </c>
      <c r="C65" s="723">
        <f>'(C1b)Shpenzimet vitet e kaluar '!D139</f>
        <v>0</v>
      </c>
      <c r="D65" s="723">
        <f>'(C1b)Shpenzimet vitet e kaluar '!E139</f>
        <v>0</v>
      </c>
      <c r="E65" s="723">
        <f>'(C1b)Shpenzimet vitet e kaluar '!F139</f>
        <v>0</v>
      </c>
      <c r="F65" s="724">
        <f>'(F2) Shpenzimet sipas nenfunk.b'!H67</f>
        <v>0</v>
      </c>
      <c r="G65" s="725">
        <f>'(F2) Shpenzimet sipas nenfunk.b'!L67</f>
        <v>0</v>
      </c>
      <c r="H65" s="725">
        <f>'(F2) Shpenzimet sipas nenfunk.b'!P67</f>
        <v>0</v>
      </c>
    </row>
    <row r="66" spans="1:8" x14ac:dyDescent="0.25">
      <c r="A66" s="672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0</v>
      </c>
      <c r="D66" s="467">
        <f>'(C1b)Shpenzimet vitet e kaluar '!E135</f>
        <v>0</v>
      </c>
      <c r="E66" s="467">
        <f>'(C1b)Shpenzimet vitet e kaluar '!F135</f>
        <v>0</v>
      </c>
      <c r="F66" s="80">
        <f>'(F2) Shpenzimet sipas nenfunk.b'!H68</f>
        <v>0</v>
      </c>
      <c r="G66" s="459">
        <f>'(F2) Shpenzimet sipas nenfunk.b'!L68</f>
        <v>0</v>
      </c>
      <c r="H66" s="459">
        <f>'(F2) Shpenzimet sipas nenfunk.b'!P68</f>
        <v>0</v>
      </c>
    </row>
    <row r="67" spans="1:8" hidden="1" x14ac:dyDescent="0.25">
      <c r="A67" s="672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2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0</v>
      </c>
      <c r="F68" s="80">
        <f>'(F2) Shpenzimet sipas nenfunk.b'!H70</f>
        <v>0</v>
      </c>
      <c r="G68" s="459">
        <f>'(F2) Shpenzimet sipas nenfunk.b'!L70</f>
        <v>0</v>
      </c>
      <c r="H68" s="459">
        <f>'(F2) Shpenzimet sipas nenfunk.b'!P70</f>
        <v>0</v>
      </c>
    </row>
    <row r="69" spans="1:8" x14ac:dyDescent="0.25">
      <c r="A69" s="721" t="str">
        <f>'(F2) Shpenzimet sipas nenfunk.b'!A71</f>
        <v>Nënfunksioni 23</v>
      </c>
      <c r="B69" s="722" t="str">
        <f>' (F4)Shpenzimet sipas nenf.neto'!B71</f>
        <v>101 Sëmundje dhe paaftësi</v>
      </c>
      <c r="C69" s="723">
        <f>'(C1b)Shpenzimet vitet e kaluar '!D150</f>
        <v>0</v>
      </c>
      <c r="D69" s="723">
        <f>'(C1b)Shpenzimet vitet e kaluar '!E150</f>
        <v>0</v>
      </c>
      <c r="E69" s="723">
        <f>'(C1b)Shpenzimet vitet e kaluar '!F150</f>
        <v>0</v>
      </c>
      <c r="F69" s="724">
        <f>'(F2) Shpenzimet sipas nenfunk.b'!H71</f>
        <v>0</v>
      </c>
      <c r="G69" s="725">
        <f>'(F2) Shpenzimet sipas nenfunk.b'!L71</f>
        <v>0</v>
      </c>
      <c r="H69" s="725">
        <f>'(F2) Shpenzimet sipas nenfunk.b'!P71</f>
        <v>0</v>
      </c>
    </row>
    <row r="70" spans="1:8" x14ac:dyDescent="0.25">
      <c r="A70" s="672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1" t="str">
        <f>'(F2) Shpenzimet sipas nenfunk.b'!A73</f>
        <v>Nënfunksioni 24</v>
      </c>
      <c r="B71" s="722" t="str">
        <f>' (F4)Shpenzimet sipas nenf.neto'!B73</f>
        <v>102 Të moshuarit</v>
      </c>
      <c r="C71" s="723">
        <f>'(C1b)Shpenzimet vitet e kaluar '!D155</f>
        <v>0</v>
      </c>
      <c r="D71" s="723">
        <f>'(C1b)Shpenzimet vitet e kaluar '!E155</f>
        <v>0</v>
      </c>
      <c r="E71" s="723">
        <f>'(C1b)Shpenzimet vitet e kaluar '!F155</f>
        <v>0</v>
      </c>
      <c r="F71" s="724">
        <f>'(F2) Shpenzimet sipas nenfunk.b'!H73</f>
        <v>0</v>
      </c>
      <c r="G71" s="725">
        <f>'(F2) Shpenzimet sipas nenfunk.b'!L73</f>
        <v>0</v>
      </c>
      <c r="H71" s="725">
        <f>'(F2) Shpenzimet sipas nenfunk.b'!P73</f>
        <v>0</v>
      </c>
    </row>
    <row r="72" spans="1:8" x14ac:dyDescent="0.25">
      <c r="A72" s="672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0</v>
      </c>
    </row>
    <row r="73" spans="1:8" x14ac:dyDescent="0.25">
      <c r="A73" s="721" t="str">
        <f>'(F2) Shpenzimet sipas nenfunk.b'!A75</f>
        <v>Nënfunksioni 25</v>
      </c>
      <c r="B73" s="722" t="str">
        <f>' (F4)Shpenzimet sipas nenf.neto'!B75</f>
        <v>104 Familje dhe fëmijë</v>
      </c>
      <c r="C73" s="723">
        <f>'(C1b)Shpenzimet vitet e kaluar '!D160</f>
        <v>0</v>
      </c>
      <c r="D73" s="723">
        <f>'(C1b)Shpenzimet vitet e kaluar '!E160</f>
        <v>0</v>
      </c>
      <c r="E73" s="723">
        <f>'(C1b)Shpenzimet vitet e kaluar '!F160</f>
        <v>0</v>
      </c>
      <c r="F73" s="724">
        <f>'(F2) Shpenzimet sipas nenfunk.b'!H75</f>
        <v>0</v>
      </c>
      <c r="G73" s="725">
        <f>'(F2) Shpenzimet sipas nenfunk.b'!L75</f>
        <v>0</v>
      </c>
      <c r="H73" s="725">
        <f>'(F2) Shpenzimet sipas nenfunk.b'!P75</f>
        <v>0</v>
      </c>
    </row>
    <row r="74" spans="1:8" x14ac:dyDescent="0.25">
      <c r="A74" s="672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0</v>
      </c>
      <c r="D74" s="467">
        <f>'(C1b)Shpenzimet vitet e kaluar '!E157</f>
        <v>0</v>
      </c>
      <c r="E74" s="467">
        <f>'(C1b)Shpenzimet vitet e kaluar '!F157</f>
        <v>0</v>
      </c>
      <c r="F74" s="80">
        <f>'(F2) Shpenzimet sipas nenfunk.b'!H76</f>
        <v>0</v>
      </c>
      <c r="G74" s="459">
        <f>'(F2) Shpenzimet sipas nenfunk.b'!L76</f>
        <v>0</v>
      </c>
      <c r="H74" s="459">
        <f>'(F2) Shpenzimet sipas nenfunk.b'!P76</f>
        <v>0</v>
      </c>
    </row>
    <row r="75" spans="1:8" hidden="1" x14ac:dyDescent="0.25">
      <c r="A75" s="672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1" t="str">
        <f>'(F2) Shpenzimet sipas nenfunk.b'!A78</f>
        <v>Nënfunksioni 26</v>
      </c>
      <c r="B76" s="722" t="str">
        <f>' (F4)Shpenzimet sipas nenf.neto'!B78</f>
        <v>105 Papunësia</v>
      </c>
      <c r="C76" s="723">
        <f>'(C1b)Shpenzimet vitet e kaluar '!D165</f>
        <v>0</v>
      </c>
      <c r="D76" s="723">
        <f>'(C1b)Shpenzimet vitet e kaluar '!E165</f>
        <v>0</v>
      </c>
      <c r="E76" s="723">
        <f>'(C1b)Shpenzimet vitet e kaluar '!F165</f>
        <v>0</v>
      </c>
      <c r="F76" s="724">
        <f>'(F2) Shpenzimet sipas nenfunk.b'!H78</f>
        <v>0</v>
      </c>
      <c r="G76" s="725">
        <f>'(F2) Shpenzimet sipas nenfunk.b'!L78</f>
        <v>0</v>
      </c>
      <c r="H76" s="725">
        <f>'(F2) Shpenzimet sipas nenfunk.b'!P78</f>
        <v>0</v>
      </c>
    </row>
    <row r="77" spans="1:8" x14ac:dyDescent="0.25">
      <c r="A77" s="672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1" t="str">
        <f>'(F2) Shpenzimet sipas nenfunk.b'!A80</f>
        <v>Nënfunksioni 27</v>
      </c>
      <c r="B78" s="722" t="str">
        <f>' (F4)Shpenzimet sipas nenf.neto'!B80</f>
        <v>106 Strehimi social</v>
      </c>
      <c r="C78" s="723">
        <f>'(C1b)Shpenzimet vitet e kaluar '!D170</f>
        <v>0</v>
      </c>
      <c r="D78" s="723">
        <f>'(C1b)Shpenzimet vitet e kaluar '!E170</f>
        <v>0</v>
      </c>
      <c r="E78" s="723">
        <f>'(C1b)Shpenzimet vitet e kaluar '!F170</f>
        <v>0</v>
      </c>
      <c r="F78" s="724">
        <f>'(F2) Shpenzimet sipas nenfunk.b'!H80</f>
        <v>0</v>
      </c>
      <c r="G78" s="725">
        <f>'(F2) Shpenzimet sipas nenfunk.b'!L80</f>
        <v>0</v>
      </c>
      <c r="H78" s="725">
        <f>'(F2) Shpenzimet sipas nenfunk.b'!P80</f>
        <v>0</v>
      </c>
    </row>
    <row r="79" spans="1:8" x14ac:dyDescent="0.25">
      <c r="A79" s="672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61" t="str">
        <f>'(G1) Fjalori'!A426:B426</f>
        <v>Totali</v>
      </c>
      <c r="B80" s="863"/>
      <c r="C80" s="468">
        <f>C4+C8+C12+C14+C16+C18+C23+C28+C32+C35+C37+C39+C41+C44+C47+C50+C52+C54+C56+C59+C63+C65+C69+C71+C73+C76+C78</f>
        <v>61509</v>
      </c>
      <c r="D80" s="468">
        <f t="shared" ref="D80:H80" si="0">D4+D8+D12+D14+D16+D18+D23+D28+D32+D35+D37+D39+D41+D44+D47+D50+D52+D54+D56+D59+D63+D65+D69+D71+D73+D76+D78</f>
        <v>79442</v>
      </c>
      <c r="E80" s="468">
        <f t="shared" si="0"/>
        <v>134037</v>
      </c>
      <c r="F80" s="468">
        <f t="shared" si="0"/>
        <v>134027</v>
      </c>
      <c r="G80" s="468">
        <f t="shared" si="0"/>
        <v>146527</v>
      </c>
      <c r="H80" s="468">
        <f t="shared" si="0"/>
        <v>179226</v>
      </c>
    </row>
  </sheetData>
  <sheetProtection algorithmName="SHA-512" hashValue="pj9tWIj21ymdrtpdwA62NN9KxDAJl8Ng2brLn8rdNpjveSpdwtln65WzBqSN0ekr3EqD8V6xuppO1pC+JC5CZQ==" saltValue="Pv8iQs7BreXGBabU0DkP6A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57" t="str">
        <f>'(G1) Fjalori'!A489</f>
        <v>(F15) SHPENZIMET KAPITALE SIPAS PROGRAMEVE</v>
      </c>
      <c r="B1" s="858"/>
      <c r="C1" s="858"/>
      <c r="D1" s="858"/>
      <c r="E1" s="858"/>
      <c r="F1" s="858"/>
      <c r="G1" s="858"/>
      <c r="H1" s="858"/>
      <c r="I1" s="858"/>
      <c r="J1" s="859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2019</v>
      </c>
      <c r="E3" s="456">
        <f>'(C1b)Shpenzimet vitet e kaluar '!E5</f>
        <v>2020</v>
      </c>
      <c r="F3" s="456">
        <f>'(C1b)Shpenzimet vitet e kaluar '!F5</f>
        <v>2021</v>
      </c>
      <c r="G3" s="460">
        <f>'(A1) Titulli'!B42</f>
        <v>2022</v>
      </c>
      <c r="H3" s="460">
        <f>'(A1) Titulli'!B43</f>
        <v>2023</v>
      </c>
      <c r="I3" s="460">
        <f>'(A1) Titulli'!B44</f>
        <v>2024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0</v>
      </c>
      <c r="E4" s="235">
        <f>'(C1b)Shpenzimet vitet e kaluar '!E15</f>
        <v>2373</v>
      </c>
      <c r="F4" s="235">
        <f>'(C1b)Shpenzimet vitet e kaluar '!F15</f>
        <v>4000</v>
      </c>
      <c r="G4" s="459">
        <f>'(F6) Shpenzimet sipas funks.bru'!H6</f>
        <v>4000</v>
      </c>
      <c r="H4" s="459">
        <f>'(F6) Shpenzimet sipas funks.bru'!L6</f>
        <v>4000</v>
      </c>
      <c r="I4" s="459">
        <f>'(F6) Shpenzimet sipas funks.bru'!P6</f>
        <v>4000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0</v>
      </c>
      <c r="G7" s="459">
        <f>'(F6) Shpenzimet sipas funks.bru'!H10</f>
        <v>0</v>
      </c>
      <c r="H7" s="459">
        <f>'(F6) Shpenzimet sipas funks.bru'!L10</f>
        <v>0</v>
      </c>
      <c r="I7" s="459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15579</v>
      </c>
      <c r="E10" s="235">
        <f>'(C1b)Shpenzimet vitet e kaluar '!E54</f>
        <v>16497</v>
      </c>
      <c r="F10" s="235">
        <f>'(C1b)Shpenzimet vitet e kaluar '!F54</f>
        <v>14134</v>
      </c>
      <c r="G10" s="459">
        <f>'(F6) Shpenzimet sipas funks.bru'!H14</f>
        <v>14132</v>
      </c>
      <c r="H10" s="459">
        <f>'(F6) Shpenzimet sipas funks.bru'!L14</f>
        <v>16632</v>
      </c>
      <c r="I10" s="459">
        <f>'(F6) Shpenzimet sipas funks.bru'!P14</f>
        <v>14132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25689</v>
      </c>
      <c r="E11" s="235">
        <f>'(C1b)Shpenzimet vitet e kaluar '!E60</f>
        <v>53907</v>
      </c>
      <c r="F11" s="235">
        <f>'(C1b)Shpenzimet vitet e kaluar '!F60</f>
        <v>88487</v>
      </c>
      <c r="G11" s="459">
        <f>'(F6) Shpenzimet sipas funks.bru'!H15</f>
        <v>88487</v>
      </c>
      <c r="H11" s="459">
        <f>'(F6) Shpenzimet sipas funks.bru'!L15</f>
        <v>98487</v>
      </c>
      <c r="I11" s="459">
        <f>'(F6) Shpenzimet sipas funks.bru'!P15</f>
        <v>128486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59">
        <f>'(F6) Shpenzimet sipas funks.bru'!H19</f>
        <v>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59">
        <f>'(F6) Shpenzimet sipas funks.bru'!H23</f>
        <v>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18870</v>
      </c>
      <c r="E18" s="235">
        <f>'(C1b)Shpenzimet vitet e kaluar '!E98</f>
        <v>2430</v>
      </c>
      <c r="F18" s="235">
        <f>'(C1b)Shpenzimet vitet e kaluar '!F98</f>
        <v>21828</v>
      </c>
      <c r="G18" s="459">
        <f>'(F6) Shpenzimet sipas funks.bru'!H24</f>
        <v>21818</v>
      </c>
      <c r="H18" s="459">
        <f>'(F6) Shpenzimet sipas funks.bru'!L24</f>
        <v>21818</v>
      </c>
      <c r="I18" s="459">
        <f>'(F6) Shpenzimet sipas funks.bru'!P24</f>
        <v>25818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0</v>
      </c>
      <c r="E19" s="235">
        <f>'(C1b)Shpenzimet vitet e kaluar '!E103</f>
        <v>0</v>
      </c>
      <c r="F19" s="235">
        <f>'(C1b)Shpenzimet vitet e kaluar '!F103</f>
        <v>0</v>
      </c>
      <c r="G19" s="459">
        <f>'(F6) Shpenzimet sipas funks.bru'!H25</f>
        <v>0</v>
      </c>
      <c r="H19" s="459">
        <f>'(F6) Shpenzimet sipas funks.bru'!L25</f>
        <v>0</v>
      </c>
      <c r="I19" s="459">
        <f>'(F6) Shpenzimet sipas funks.bru'!P25</f>
        <v>0</v>
      </c>
    </row>
    <row r="20" spans="2:9" ht="15" customHeight="1" x14ac:dyDescent="0.2">
      <c r="B20" s="113" t="s">
        <v>345</v>
      </c>
      <c r="C20" s="113" t="str">
        <f>' (F4)Shpenzimet sipas nenf.neto'!B54</f>
        <v xml:space="preserve">                               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1200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1389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2846</v>
      </c>
      <c r="F23" s="235">
        <f>'(C1b)Shpenzimet vitet e kaluar '!F126</f>
        <v>2640</v>
      </c>
      <c r="G23" s="459">
        <f>'(F6) Shpenzimet sipas funks.bru'!H31</f>
        <v>2640</v>
      </c>
      <c r="H23" s="459">
        <f>'(F6) Shpenzimet sipas funks.bru'!L31</f>
        <v>2640</v>
      </c>
      <c r="I23" s="459">
        <f>'(F6) Shpenzimet sipas funks.bru'!P31</f>
        <v>2640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1371</v>
      </c>
      <c r="E24" s="235">
        <f>'(C1b)Shpenzimet vitet e kaluar '!E133</f>
        <v>0</v>
      </c>
      <c r="F24" s="235">
        <f>'(C1b)Shpenzimet vitet e kaluar '!F133</f>
        <v>2948</v>
      </c>
      <c r="G24" s="459">
        <f>'(F6) Shpenzimet sipas funks.bru'!H33</f>
        <v>2950</v>
      </c>
      <c r="H24" s="459">
        <f>'(F6) Shpenzimet sipas funks.bru'!L33</f>
        <v>2950</v>
      </c>
      <c r="I24" s="459">
        <f>'(F6) Shpenzimet sipas funks.bru'!P33</f>
        <v>2950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0</v>
      </c>
      <c r="G25" s="459">
        <f>'(F6) Shpenzimet sipas funks.bru'!H34</f>
        <v>0</v>
      </c>
      <c r="H25" s="459">
        <f>'(F6) Shpenzimet sipas funks.bru'!L34</f>
        <v>0</v>
      </c>
      <c r="I25" s="459">
        <f>'(F6) Shpenzimet sipas funks.bru'!P34</f>
        <v>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59">
        <f>'(F6) Shpenzimet sipas funks.bru'!H38</f>
        <v>0</v>
      </c>
      <c r="H28" s="459">
        <f>'(F6) Shpenzimet sipas funks.bru'!L38</f>
        <v>0</v>
      </c>
      <c r="I28" s="459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85" t="str">
        <f>'(G1) Fjalori'!A426:B426</f>
        <v>Total</v>
      </c>
      <c r="C31" s="1085"/>
      <c r="D31" s="462">
        <f t="shared" ref="D31:I31" si="0">SUM(D4:D30)</f>
        <v>61509</v>
      </c>
      <c r="E31" s="462">
        <f t="shared" si="0"/>
        <v>79442</v>
      </c>
      <c r="F31" s="462">
        <f t="shared" si="0"/>
        <v>134037</v>
      </c>
      <c r="G31" s="461">
        <f t="shared" si="0"/>
        <v>134027</v>
      </c>
      <c r="H31" s="461">
        <f t="shared" si="0"/>
        <v>146527</v>
      </c>
      <c r="I31" s="461">
        <f t="shared" si="0"/>
        <v>179226</v>
      </c>
    </row>
  </sheetData>
  <sheetProtection algorithmName="SHA-512" hashValue="dXJtoRR2X5oROdZXxR5a5swt4ivvtxiam7QQOhTt4KSFdkSqN7Uxw21gtf3Ae72iPj+zFR9aSCIgxMdmPFTLlA==" saltValue="1sPf493/xER8V3iOVjOgI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232" zoomScale="90" zoomScaleNormal="90" workbookViewId="0">
      <selection activeCell="A51" sqref="A51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1617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0" t="s">
        <v>1041</v>
      </c>
      <c r="B5" s="493" t="s">
        <v>944</v>
      </c>
    </row>
    <row r="6" spans="1:4" ht="42" x14ac:dyDescent="0.35">
      <c r="A6" s="650" t="s">
        <v>1042</v>
      </c>
      <c r="B6" s="493" t="s">
        <v>943</v>
      </c>
    </row>
    <row r="7" spans="1:4" ht="42" x14ac:dyDescent="0.35">
      <c r="A7" s="650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1751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1924</v>
      </c>
      <c r="B35" s="186" t="s">
        <v>584</v>
      </c>
    </row>
    <row r="36" spans="1:2" ht="21" x14ac:dyDescent="0.35">
      <c r="A36" s="62" t="s">
        <v>1915</v>
      </c>
      <c r="B36" s="186" t="s">
        <v>1916</v>
      </c>
    </row>
    <row r="37" spans="1:2" ht="21" x14ac:dyDescent="0.35">
      <c r="A37" s="62" t="s">
        <v>1917</v>
      </c>
      <c r="B37" s="186" t="s">
        <v>242</v>
      </c>
    </row>
    <row r="38" spans="1:2" ht="21" x14ac:dyDescent="0.35">
      <c r="A38" s="62" t="s">
        <v>1918</v>
      </c>
      <c r="B38" s="186" t="s">
        <v>243</v>
      </c>
    </row>
    <row r="39" spans="1:2" ht="21" x14ac:dyDescent="0.35">
      <c r="A39" s="62" t="s">
        <v>1921</v>
      </c>
      <c r="B39" s="113" t="s">
        <v>1922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1861</v>
      </c>
      <c r="B46" s="186" t="s">
        <v>250</v>
      </c>
    </row>
    <row r="47" spans="1:2" ht="21" x14ac:dyDescent="0.35">
      <c r="A47" s="62" t="s">
        <v>1719</v>
      </c>
      <c r="B47" s="186" t="s">
        <v>251</v>
      </c>
    </row>
    <row r="48" spans="1:2" ht="21" x14ac:dyDescent="0.35">
      <c r="A48" s="62" t="s">
        <v>1926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1935</v>
      </c>
      <c r="B51" s="186" t="s">
        <v>255</v>
      </c>
    </row>
    <row r="52" spans="1:2" ht="21" x14ac:dyDescent="0.35">
      <c r="A52" s="62" t="s">
        <v>1925</v>
      </c>
      <c r="B52" s="186" t="s">
        <v>1923</v>
      </c>
    </row>
    <row r="53" spans="1:2" ht="21" x14ac:dyDescent="0.35">
      <c r="A53" s="62" t="s">
        <v>1076</v>
      </c>
      <c r="B53" s="186" t="s">
        <v>256</v>
      </c>
    </row>
    <row r="54" spans="1:2" ht="21" x14ac:dyDescent="0.35">
      <c r="A54" s="62" t="s">
        <v>1077</v>
      </c>
      <c r="B54" s="186" t="s">
        <v>257</v>
      </c>
    </row>
    <row r="55" spans="1:2" ht="21" x14ac:dyDescent="0.35">
      <c r="A55" s="62" t="s">
        <v>1078</v>
      </c>
      <c r="B55" s="186" t="s">
        <v>259</v>
      </c>
    </row>
    <row r="56" spans="1:2" ht="21" x14ac:dyDescent="0.35">
      <c r="A56" s="62" t="s">
        <v>1927</v>
      </c>
      <c r="B56" s="186" t="s">
        <v>258</v>
      </c>
    </row>
    <row r="57" spans="1:2" ht="21" x14ac:dyDescent="0.35">
      <c r="A57" s="653" t="s">
        <v>1079</v>
      </c>
      <c r="B57" s="768" t="s">
        <v>260</v>
      </c>
    </row>
    <row r="58" spans="1:2" ht="21" x14ac:dyDescent="0.35">
      <c r="A58" s="62" t="s">
        <v>1080</v>
      </c>
      <c r="B58" s="186" t="s">
        <v>261</v>
      </c>
    </row>
    <row r="59" spans="1:2" ht="21" x14ac:dyDescent="0.35">
      <c r="A59" s="62" t="s">
        <v>1081</v>
      </c>
      <c r="B59" s="186" t="s">
        <v>262</v>
      </c>
    </row>
    <row r="60" spans="1:2" ht="21" x14ac:dyDescent="0.35">
      <c r="A60" s="62" t="s">
        <v>1082</v>
      </c>
      <c r="B60" s="186" t="s">
        <v>263</v>
      </c>
    </row>
    <row r="61" spans="1:2" ht="21" x14ac:dyDescent="0.35">
      <c r="A61" s="62" t="s">
        <v>1083</v>
      </c>
      <c r="B61" s="186" t="s">
        <v>264</v>
      </c>
    </row>
    <row r="62" spans="1:2" ht="21" x14ac:dyDescent="0.35">
      <c r="A62" s="62" t="s">
        <v>1920</v>
      </c>
      <c r="B62" s="186" t="s">
        <v>265</v>
      </c>
    </row>
    <row r="63" spans="1:2" ht="21" x14ac:dyDescent="0.35">
      <c r="A63" s="653" t="s">
        <v>1084</v>
      </c>
      <c r="B63" s="768" t="s">
        <v>266</v>
      </c>
    </row>
    <row r="64" spans="1:2" ht="21" x14ac:dyDescent="0.35">
      <c r="A64" s="62" t="s">
        <v>1723</v>
      </c>
      <c r="B64" s="186" t="s">
        <v>46</v>
      </c>
    </row>
    <row r="65" spans="1:2" ht="21" x14ac:dyDescent="0.35">
      <c r="A65" s="62" t="s">
        <v>1724</v>
      </c>
      <c r="B65" s="186" t="s">
        <v>47</v>
      </c>
    </row>
    <row r="66" spans="1:2" ht="21" x14ac:dyDescent="0.35">
      <c r="A66" s="62" t="s">
        <v>1725</v>
      </c>
      <c r="B66" s="186" t="s">
        <v>48</v>
      </c>
    </row>
    <row r="67" spans="1:2" ht="21" x14ac:dyDescent="0.35">
      <c r="A67" s="62" t="s">
        <v>1726</v>
      </c>
      <c r="B67" s="186" t="s">
        <v>49</v>
      </c>
    </row>
    <row r="68" spans="1:2" ht="21" x14ac:dyDescent="0.35">
      <c r="A68" s="62" t="s">
        <v>1727</v>
      </c>
      <c r="B68" s="186" t="s">
        <v>50</v>
      </c>
    </row>
    <row r="69" spans="1:2" ht="21" x14ac:dyDescent="0.35">
      <c r="A69" s="62" t="s">
        <v>1728</v>
      </c>
      <c r="B69" s="186" t="s">
        <v>51</v>
      </c>
    </row>
    <row r="70" spans="1:2" ht="21" x14ac:dyDescent="0.35">
      <c r="A70" s="62" t="s">
        <v>1729</v>
      </c>
      <c r="B70" s="186" t="s">
        <v>52</v>
      </c>
    </row>
    <row r="71" spans="1:2" ht="21" x14ac:dyDescent="0.35">
      <c r="A71" s="62" t="s">
        <v>1730</v>
      </c>
      <c r="B71" s="186" t="s">
        <v>53</v>
      </c>
    </row>
    <row r="72" spans="1:2" ht="21" x14ac:dyDescent="0.35">
      <c r="A72" s="62" t="s">
        <v>1731</v>
      </c>
      <c r="B72" s="186" t="s">
        <v>54</v>
      </c>
    </row>
    <row r="73" spans="1:2" ht="21" x14ac:dyDescent="0.35">
      <c r="A73" s="62" t="s">
        <v>1732</v>
      </c>
      <c r="B73" s="186" t="s">
        <v>55</v>
      </c>
    </row>
    <row r="74" spans="1:2" ht="21" x14ac:dyDescent="0.35">
      <c r="A74" s="62" t="s">
        <v>1733</v>
      </c>
      <c r="B74" s="186" t="s">
        <v>56</v>
      </c>
    </row>
    <row r="75" spans="1:2" ht="21" x14ac:dyDescent="0.35">
      <c r="A75" s="62" t="s">
        <v>1734</v>
      </c>
      <c r="B75" s="186" t="s">
        <v>57</v>
      </c>
    </row>
    <row r="76" spans="1:2" ht="21" x14ac:dyDescent="0.35">
      <c r="A76" s="62" t="s">
        <v>1735</v>
      </c>
      <c r="B76" s="186" t="s">
        <v>58</v>
      </c>
    </row>
    <row r="77" spans="1:2" ht="21" x14ac:dyDescent="0.35">
      <c r="A77" s="62" t="s">
        <v>1736</v>
      </c>
      <c r="B77" s="186" t="s">
        <v>59</v>
      </c>
    </row>
    <row r="78" spans="1:2" ht="21" x14ac:dyDescent="0.35">
      <c r="A78" s="62" t="s">
        <v>1737</v>
      </c>
      <c r="B78" s="186" t="s">
        <v>60</v>
      </c>
    </row>
    <row r="79" spans="1:2" ht="21" x14ac:dyDescent="0.35">
      <c r="A79" s="62" t="s">
        <v>1738</v>
      </c>
      <c r="B79" s="186" t="s">
        <v>77</v>
      </c>
    </row>
    <row r="80" spans="1:2" ht="21" x14ac:dyDescent="0.35">
      <c r="A80" s="62" t="s">
        <v>1739</v>
      </c>
      <c r="B80" s="186" t="s">
        <v>230</v>
      </c>
    </row>
    <row r="81" spans="1:4" ht="21" x14ac:dyDescent="0.35">
      <c r="A81" s="62" t="s">
        <v>1740</v>
      </c>
      <c r="B81" s="186" t="s">
        <v>231</v>
      </c>
    </row>
    <row r="82" spans="1:4" ht="21" x14ac:dyDescent="0.35">
      <c r="A82" s="62" t="s">
        <v>1741</v>
      </c>
      <c r="B82" s="186" t="s">
        <v>232</v>
      </c>
    </row>
    <row r="83" spans="1:4" ht="21" x14ac:dyDescent="0.35">
      <c r="A83" s="62" t="s">
        <v>1743</v>
      </c>
      <c r="B83" s="186" t="s">
        <v>233</v>
      </c>
    </row>
    <row r="84" spans="1:4" ht="21" x14ac:dyDescent="0.35">
      <c r="A84" s="62" t="s">
        <v>1742</v>
      </c>
      <c r="B84" s="186" t="s">
        <v>234</v>
      </c>
    </row>
    <row r="85" spans="1:4" ht="21" x14ac:dyDescent="0.35">
      <c r="A85" s="62" t="s">
        <v>1744</v>
      </c>
      <c r="B85" s="186" t="s">
        <v>235</v>
      </c>
    </row>
    <row r="86" spans="1:4" ht="21" x14ac:dyDescent="0.35">
      <c r="A86" s="653" t="s">
        <v>1745</v>
      </c>
      <c r="B86" s="768" t="s">
        <v>236</v>
      </c>
    </row>
    <row r="87" spans="1:4" ht="21" x14ac:dyDescent="0.35">
      <c r="A87" s="62" t="s">
        <v>1745</v>
      </c>
      <c r="B87" s="186" t="s">
        <v>236</v>
      </c>
    </row>
    <row r="88" spans="1:4" ht="21" x14ac:dyDescent="0.35">
      <c r="A88" s="62" t="s">
        <v>1746</v>
      </c>
      <c r="B88" s="186" t="s">
        <v>237</v>
      </c>
    </row>
    <row r="89" spans="1:4" ht="21" x14ac:dyDescent="0.35">
      <c r="A89" s="62" t="s">
        <v>1747</v>
      </c>
      <c r="B89" s="186" t="s">
        <v>238</v>
      </c>
    </row>
    <row r="90" spans="1:4" ht="21" x14ac:dyDescent="0.35">
      <c r="A90" s="62" t="s">
        <v>1748</v>
      </c>
      <c r="B90" s="186" t="s">
        <v>239</v>
      </c>
    </row>
    <row r="91" spans="1:4" ht="21" x14ac:dyDescent="0.35">
      <c r="A91" s="62" t="s">
        <v>1749</v>
      </c>
      <c r="B91" s="186" t="s">
        <v>240</v>
      </c>
    </row>
    <row r="92" spans="1:4" ht="21" x14ac:dyDescent="0.35">
      <c r="A92" s="653" t="s">
        <v>1750</v>
      </c>
      <c r="B92" s="768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1857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1855</v>
      </c>
      <c r="B96" s="186" t="s">
        <v>692</v>
      </c>
    </row>
    <row r="97" spans="1:2" ht="21" x14ac:dyDescent="0.35">
      <c r="A97" s="216" t="s">
        <v>1856</v>
      </c>
      <c r="B97" s="186" t="s">
        <v>1020</v>
      </c>
    </row>
    <row r="98" spans="1:2" ht="21" x14ac:dyDescent="0.35">
      <c r="A98" s="216" t="s">
        <v>1101</v>
      </c>
      <c r="B98" s="186" t="s">
        <v>711</v>
      </c>
    </row>
    <row r="99" spans="1:2" ht="21" x14ac:dyDescent="0.35">
      <c r="A99" s="216" t="s">
        <v>1102</v>
      </c>
      <c r="B99" s="186" t="s">
        <v>712</v>
      </c>
    </row>
    <row r="100" spans="1:2" ht="21" x14ac:dyDescent="0.35">
      <c r="A100" s="216" t="s">
        <v>1103</v>
      </c>
      <c r="B100" s="186" t="s">
        <v>941</v>
      </c>
    </row>
    <row r="101" spans="1:2" ht="21" x14ac:dyDescent="0.35">
      <c r="A101" s="62" t="s">
        <v>1752</v>
      </c>
      <c r="B101" s="186" t="s">
        <v>360</v>
      </c>
    </row>
    <row r="102" spans="1:2" ht="21" x14ac:dyDescent="0.35">
      <c r="A102" s="62" t="s">
        <v>1753</v>
      </c>
      <c r="B102" s="186" t="s">
        <v>361</v>
      </c>
    </row>
    <row r="103" spans="1:2" ht="21" x14ac:dyDescent="0.35">
      <c r="A103" s="62" t="s">
        <v>1754</v>
      </c>
      <c r="B103" s="186" t="s">
        <v>362</v>
      </c>
    </row>
    <row r="104" spans="1:2" ht="21" x14ac:dyDescent="0.35">
      <c r="A104" s="62" t="s">
        <v>1755</v>
      </c>
      <c r="B104" s="186" t="s">
        <v>363</v>
      </c>
    </row>
    <row r="105" spans="1:2" ht="21" x14ac:dyDescent="0.35">
      <c r="A105" s="62" t="s">
        <v>1756</v>
      </c>
      <c r="B105" s="186" t="s">
        <v>678</v>
      </c>
    </row>
    <row r="106" spans="1:2" ht="21" x14ac:dyDescent="0.35">
      <c r="A106" s="62" t="s">
        <v>1757</v>
      </c>
      <c r="B106" s="186" t="s">
        <v>1018</v>
      </c>
    </row>
    <row r="107" spans="1:2" ht="21" x14ac:dyDescent="0.35">
      <c r="A107" s="62" t="s">
        <v>1758</v>
      </c>
      <c r="B107" s="186" t="s">
        <v>364</v>
      </c>
    </row>
    <row r="108" spans="1:2" ht="21" x14ac:dyDescent="0.35">
      <c r="A108" s="62" t="s">
        <v>1759</v>
      </c>
      <c r="B108" s="186" t="s">
        <v>365</v>
      </c>
    </row>
    <row r="109" spans="1:2" ht="21" x14ac:dyDescent="0.35">
      <c r="A109" s="62" t="s">
        <v>1760</v>
      </c>
      <c r="B109" s="186" t="s">
        <v>452</v>
      </c>
    </row>
    <row r="110" spans="1:2" ht="21" x14ac:dyDescent="0.35">
      <c r="A110" s="62" t="s">
        <v>1761</v>
      </c>
      <c r="B110" s="186" t="s">
        <v>366</v>
      </c>
    </row>
    <row r="111" spans="1:2" ht="21" x14ac:dyDescent="0.35">
      <c r="A111" s="62" t="s">
        <v>1762</v>
      </c>
      <c r="B111" s="186" t="s">
        <v>983</v>
      </c>
    </row>
    <row r="112" spans="1:2" ht="21" x14ac:dyDescent="0.35">
      <c r="A112" s="62" t="s">
        <v>1763</v>
      </c>
      <c r="B112" s="186" t="s">
        <v>367</v>
      </c>
    </row>
    <row r="113" spans="1:2" ht="21" x14ac:dyDescent="0.35">
      <c r="A113" s="62" t="s">
        <v>1764</v>
      </c>
      <c r="B113" s="186" t="s">
        <v>370</v>
      </c>
    </row>
    <row r="114" spans="1:2" ht="21" x14ac:dyDescent="0.35">
      <c r="A114" s="62" t="s">
        <v>1765</v>
      </c>
      <c r="B114" s="186" t="s">
        <v>371</v>
      </c>
    </row>
    <row r="115" spans="1:2" ht="21" x14ac:dyDescent="0.35">
      <c r="A115" s="62" t="s">
        <v>1766</v>
      </c>
      <c r="B115" s="186" t="s">
        <v>379</v>
      </c>
    </row>
    <row r="116" spans="1:2" ht="21" x14ac:dyDescent="0.35">
      <c r="A116" s="62" t="s">
        <v>1767</v>
      </c>
      <c r="B116" s="186" t="s">
        <v>368</v>
      </c>
    </row>
    <row r="117" spans="1:2" ht="21" x14ac:dyDescent="0.35">
      <c r="A117" s="62" t="s">
        <v>1768</v>
      </c>
      <c r="B117" s="186" t="s">
        <v>453</v>
      </c>
    </row>
    <row r="118" spans="1:2" ht="21" x14ac:dyDescent="0.35">
      <c r="A118" s="62" t="s">
        <v>1769</v>
      </c>
      <c r="B118" s="186" t="s">
        <v>372</v>
      </c>
    </row>
    <row r="119" spans="1:2" ht="21" x14ac:dyDescent="0.35">
      <c r="A119" s="62" t="s">
        <v>1770</v>
      </c>
      <c r="B119" s="186" t="s">
        <v>373</v>
      </c>
    </row>
    <row r="120" spans="1:2" ht="21" x14ac:dyDescent="0.35">
      <c r="A120" s="62" t="s">
        <v>1771</v>
      </c>
      <c r="B120" s="186" t="s">
        <v>369</v>
      </c>
    </row>
    <row r="121" spans="1:2" ht="21" x14ac:dyDescent="0.35">
      <c r="A121" s="62" t="s">
        <v>1772</v>
      </c>
      <c r="B121" s="186" t="s">
        <v>374</v>
      </c>
    </row>
    <row r="122" spans="1:2" ht="21" x14ac:dyDescent="0.35">
      <c r="A122" s="62" t="s">
        <v>1773</v>
      </c>
      <c r="B122" s="186" t="s">
        <v>375</v>
      </c>
    </row>
    <row r="123" spans="1:2" ht="21" x14ac:dyDescent="0.35">
      <c r="A123" s="62" t="s">
        <v>1774</v>
      </c>
      <c r="B123" s="186" t="s">
        <v>376</v>
      </c>
    </row>
    <row r="124" spans="1:2" ht="21" x14ac:dyDescent="0.35">
      <c r="A124" s="62" t="s">
        <v>1775</v>
      </c>
      <c r="B124" s="186" t="s">
        <v>377</v>
      </c>
    </row>
    <row r="125" spans="1:2" ht="21" x14ac:dyDescent="0.35">
      <c r="A125" s="62" t="s">
        <v>1776</v>
      </c>
      <c r="B125" s="186" t="s">
        <v>456</v>
      </c>
    </row>
    <row r="126" spans="1:2" ht="21" x14ac:dyDescent="0.35">
      <c r="A126" s="62" t="s">
        <v>1777</v>
      </c>
      <c r="B126" s="186" t="s">
        <v>1017</v>
      </c>
    </row>
    <row r="127" spans="1:2" ht="21" x14ac:dyDescent="0.35">
      <c r="A127" s="62" t="s">
        <v>1778</v>
      </c>
      <c r="B127" s="186" t="s">
        <v>378</v>
      </c>
    </row>
    <row r="128" spans="1:2" ht="21" x14ac:dyDescent="0.35">
      <c r="A128" s="62" t="s">
        <v>1779</v>
      </c>
      <c r="B128" s="186" t="s">
        <v>380</v>
      </c>
    </row>
    <row r="129" spans="1:2" ht="21" x14ac:dyDescent="0.35">
      <c r="A129" s="62" t="s">
        <v>1780</v>
      </c>
      <c r="B129" s="186" t="s">
        <v>381</v>
      </c>
    </row>
    <row r="130" spans="1:2" ht="21" x14ac:dyDescent="0.35">
      <c r="A130" s="62" t="s">
        <v>1781</v>
      </c>
      <c r="B130" s="186" t="s">
        <v>382</v>
      </c>
    </row>
    <row r="131" spans="1:2" ht="21" x14ac:dyDescent="0.35">
      <c r="A131" s="62" t="s">
        <v>1782</v>
      </c>
      <c r="B131" s="186" t="s">
        <v>457</v>
      </c>
    </row>
    <row r="132" spans="1:2" ht="21" x14ac:dyDescent="0.35">
      <c r="A132" s="62" t="s">
        <v>1783</v>
      </c>
      <c r="B132" s="186" t="s">
        <v>458</v>
      </c>
    </row>
    <row r="133" spans="1:2" ht="21" x14ac:dyDescent="0.35">
      <c r="A133" s="62" t="s">
        <v>1784</v>
      </c>
      <c r="B133" s="186" t="s">
        <v>383</v>
      </c>
    </row>
    <row r="134" spans="1:2" ht="21" x14ac:dyDescent="0.35">
      <c r="A134" s="62" t="s">
        <v>1785</v>
      </c>
      <c r="B134" s="186" t="s">
        <v>384</v>
      </c>
    </row>
    <row r="135" spans="1:2" ht="21" x14ac:dyDescent="0.35">
      <c r="A135" s="62" t="s">
        <v>1786</v>
      </c>
      <c r="B135" s="186" t="s">
        <v>385</v>
      </c>
    </row>
    <row r="136" spans="1:2" ht="21" x14ac:dyDescent="0.35">
      <c r="A136" s="62" t="s">
        <v>1787</v>
      </c>
      <c r="B136" s="186" t="s">
        <v>386</v>
      </c>
    </row>
    <row r="137" spans="1:2" ht="21" x14ac:dyDescent="0.35">
      <c r="A137" s="62" t="s">
        <v>1788</v>
      </c>
      <c r="B137" s="186" t="s">
        <v>387</v>
      </c>
    </row>
    <row r="138" spans="1:2" ht="21" x14ac:dyDescent="0.35">
      <c r="A138" s="62" t="s">
        <v>1789</v>
      </c>
      <c r="B138" s="186" t="s">
        <v>454</v>
      </c>
    </row>
    <row r="139" spans="1:2" ht="21" x14ac:dyDescent="0.35">
      <c r="A139" s="62" t="s">
        <v>1790</v>
      </c>
      <c r="B139" s="186" t="s">
        <v>455</v>
      </c>
    </row>
    <row r="140" spans="1:2" ht="21" x14ac:dyDescent="0.35">
      <c r="A140" s="62" t="s">
        <v>1791</v>
      </c>
      <c r="B140" s="186" t="s">
        <v>388</v>
      </c>
    </row>
    <row r="141" spans="1:2" ht="21" x14ac:dyDescent="0.35">
      <c r="A141" s="62" t="s">
        <v>1792</v>
      </c>
      <c r="B141" s="186" t="s">
        <v>389</v>
      </c>
    </row>
    <row r="142" spans="1:2" ht="21" x14ac:dyDescent="0.35">
      <c r="A142" s="62" t="s">
        <v>1793</v>
      </c>
      <c r="B142" s="186" t="s">
        <v>390</v>
      </c>
    </row>
    <row r="143" spans="1:2" ht="21" x14ac:dyDescent="0.35">
      <c r="A143" s="62" t="s">
        <v>1794</v>
      </c>
      <c r="B143" s="186" t="s">
        <v>391</v>
      </c>
    </row>
    <row r="144" spans="1:2" ht="21" x14ac:dyDescent="0.35">
      <c r="A144" s="62" t="s">
        <v>1795</v>
      </c>
      <c r="B144" s="186" t="s">
        <v>392</v>
      </c>
    </row>
    <row r="145" spans="1:2" ht="21" x14ac:dyDescent="0.35">
      <c r="A145" s="62" t="s">
        <v>1796</v>
      </c>
      <c r="B145" s="186" t="s">
        <v>393</v>
      </c>
    </row>
    <row r="146" spans="1:2" ht="21" x14ac:dyDescent="0.35">
      <c r="A146" s="62" t="s">
        <v>1797</v>
      </c>
      <c r="B146" s="186" t="s">
        <v>394</v>
      </c>
    </row>
    <row r="147" spans="1:2" ht="21" x14ac:dyDescent="0.35">
      <c r="A147" s="62" t="s">
        <v>1798</v>
      </c>
      <c r="B147" s="186" t="s">
        <v>395</v>
      </c>
    </row>
    <row r="148" spans="1:2" ht="21" x14ac:dyDescent="0.35">
      <c r="A148" s="62" t="s">
        <v>1799</v>
      </c>
      <c r="B148" s="186" t="s">
        <v>396</v>
      </c>
    </row>
    <row r="149" spans="1:2" ht="21" x14ac:dyDescent="0.35">
      <c r="A149" s="62" t="s">
        <v>1800</v>
      </c>
      <c r="B149" s="186" t="s">
        <v>397</v>
      </c>
    </row>
    <row r="150" spans="1:2" ht="21" x14ac:dyDescent="0.35">
      <c r="A150" s="62" t="s">
        <v>1801</v>
      </c>
      <c r="B150" s="186" t="s">
        <v>398</v>
      </c>
    </row>
    <row r="151" spans="1:2" ht="21" x14ac:dyDescent="0.35">
      <c r="A151" s="62" t="s">
        <v>1802</v>
      </c>
      <c r="B151" s="186" t="s">
        <v>399</v>
      </c>
    </row>
    <row r="152" spans="1:2" ht="21" x14ac:dyDescent="0.35">
      <c r="A152" s="62" t="s">
        <v>1803</v>
      </c>
      <c r="B152" s="186" t="s">
        <v>400</v>
      </c>
    </row>
    <row r="153" spans="1:2" ht="21" x14ac:dyDescent="0.35">
      <c r="A153" s="62" t="s">
        <v>1804</v>
      </c>
      <c r="B153" s="186" t="s">
        <v>401</v>
      </c>
    </row>
    <row r="154" spans="1:2" ht="21" x14ac:dyDescent="0.35">
      <c r="A154" s="62" t="s">
        <v>1805</v>
      </c>
      <c r="B154" s="186" t="s">
        <v>402</v>
      </c>
    </row>
    <row r="155" spans="1:2" ht="21" x14ac:dyDescent="0.35">
      <c r="A155" s="62" t="s">
        <v>1806</v>
      </c>
      <c r="B155" s="186" t="s">
        <v>403</v>
      </c>
    </row>
    <row r="156" spans="1:2" ht="21" x14ac:dyDescent="0.35">
      <c r="A156" s="62" t="s">
        <v>1807</v>
      </c>
      <c r="B156" s="186" t="s">
        <v>404</v>
      </c>
    </row>
    <row r="157" spans="1:2" ht="21" x14ac:dyDescent="0.35">
      <c r="A157" s="62" t="s">
        <v>1808</v>
      </c>
      <c r="B157" s="186" t="s">
        <v>405</v>
      </c>
    </row>
    <row r="158" spans="1:2" ht="21" x14ac:dyDescent="0.35">
      <c r="A158" s="62" t="s">
        <v>1809</v>
      </c>
      <c r="B158" s="186" t="s">
        <v>406</v>
      </c>
    </row>
    <row r="159" spans="1:2" ht="21" x14ac:dyDescent="0.35">
      <c r="A159" s="62" t="s">
        <v>1810</v>
      </c>
      <c r="B159" s="186" t="s">
        <v>407</v>
      </c>
    </row>
    <row r="160" spans="1:2" ht="21" x14ac:dyDescent="0.35">
      <c r="A160" s="62" t="s">
        <v>1811</v>
      </c>
      <c r="B160" s="186" t="s">
        <v>408</v>
      </c>
    </row>
    <row r="161" spans="1:2" ht="21" x14ac:dyDescent="0.35">
      <c r="A161" s="62" t="s">
        <v>1812</v>
      </c>
      <c r="B161" s="186" t="s">
        <v>409</v>
      </c>
    </row>
    <row r="162" spans="1:2" ht="21" x14ac:dyDescent="0.35">
      <c r="A162" s="62" t="s">
        <v>1813</v>
      </c>
      <c r="B162" s="186" t="s">
        <v>410</v>
      </c>
    </row>
    <row r="163" spans="1:2" ht="21" x14ac:dyDescent="0.35">
      <c r="A163" s="62" t="s">
        <v>1814</v>
      </c>
      <c r="B163" s="186" t="s">
        <v>411</v>
      </c>
    </row>
    <row r="164" spans="1:2" ht="21" x14ac:dyDescent="0.35">
      <c r="A164" s="62" t="s">
        <v>1815</v>
      </c>
      <c r="B164" s="186" t="s">
        <v>412</v>
      </c>
    </row>
    <row r="165" spans="1:2" ht="21" x14ac:dyDescent="0.35">
      <c r="A165" s="62" t="s">
        <v>1816</v>
      </c>
      <c r="B165" s="186" t="s">
        <v>413</v>
      </c>
    </row>
    <row r="166" spans="1:2" ht="21" x14ac:dyDescent="0.35">
      <c r="A166" s="62" t="s">
        <v>1817</v>
      </c>
      <c r="B166" s="186" t="s">
        <v>414</v>
      </c>
    </row>
    <row r="167" spans="1:2" ht="21" x14ac:dyDescent="0.35">
      <c r="A167" s="62" t="s">
        <v>1818</v>
      </c>
      <c r="B167" s="186" t="s">
        <v>415</v>
      </c>
    </row>
    <row r="168" spans="1:2" ht="21" x14ac:dyDescent="0.35">
      <c r="A168" s="62" t="s">
        <v>1819</v>
      </c>
      <c r="B168" s="186" t="s">
        <v>416</v>
      </c>
    </row>
    <row r="169" spans="1:2" ht="21" x14ac:dyDescent="0.35">
      <c r="A169" s="62" t="s">
        <v>1820</v>
      </c>
      <c r="B169" s="186" t="s">
        <v>417</v>
      </c>
    </row>
    <row r="170" spans="1:2" ht="21" x14ac:dyDescent="0.35">
      <c r="A170" s="62" t="s">
        <v>1821</v>
      </c>
      <c r="B170" s="186" t="s">
        <v>418</v>
      </c>
    </row>
    <row r="171" spans="1:2" ht="21" x14ac:dyDescent="0.35">
      <c r="A171" s="62" t="s">
        <v>1822</v>
      </c>
      <c r="B171" s="186" t="s">
        <v>419</v>
      </c>
    </row>
    <row r="172" spans="1:2" ht="21" x14ac:dyDescent="0.35">
      <c r="A172" s="62" t="s">
        <v>1823</v>
      </c>
      <c r="B172" s="186" t="s">
        <v>420</v>
      </c>
    </row>
    <row r="173" spans="1:2" ht="21" x14ac:dyDescent="0.35">
      <c r="A173" s="62" t="s">
        <v>1824</v>
      </c>
      <c r="B173" s="186" t="s">
        <v>421</v>
      </c>
    </row>
    <row r="174" spans="1:2" ht="21" x14ac:dyDescent="0.35">
      <c r="A174" s="62" t="s">
        <v>1825</v>
      </c>
      <c r="B174" s="186" t="s">
        <v>422</v>
      </c>
    </row>
    <row r="175" spans="1:2" ht="21" x14ac:dyDescent="0.35">
      <c r="A175" s="62" t="s">
        <v>1826</v>
      </c>
      <c r="B175" s="186" t="s">
        <v>423</v>
      </c>
    </row>
    <row r="176" spans="1:2" ht="21" x14ac:dyDescent="0.35">
      <c r="A176" s="62" t="s">
        <v>1827</v>
      </c>
      <c r="B176" s="186" t="s">
        <v>424</v>
      </c>
    </row>
    <row r="177" spans="1:2" ht="21" x14ac:dyDescent="0.35">
      <c r="A177" s="62" t="s">
        <v>1828</v>
      </c>
      <c r="B177" s="186" t="s">
        <v>425</v>
      </c>
    </row>
    <row r="178" spans="1:2" ht="21" x14ac:dyDescent="0.35">
      <c r="A178" s="62" t="s">
        <v>1829</v>
      </c>
      <c r="B178" s="186" t="s">
        <v>426</v>
      </c>
    </row>
    <row r="179" spans="1:2" ht="21" x14ac:dyDescent="0.35">
      <c r="A179" s="62" t="s">
        <v>1830</v>
      </c>
      <c r="B179" s="186" t="s">
        <v>427</v>
      </c>
    </row>
    <row r="180" spans="1:2" ht="21" x14ac:dyDescent="0.35">
      <c r="A180" s="62" t="s">
        <v>1831</v>
      </c>
      <c r="B180" s="186" t="s">
        <v>428</v>
      </c>
    </row>
    <row r="181" spans="1:2" ht="21" x14ac:dyDescent="0.35">
      <c r="A181" s="62" t="s">
        <v>1832</v>
      </c>
      <c r="B181" s="186" t="s">
        <v>429</v>
      </c>
    </row>
    <row r="182" spans="1:2" ht="21" x14ac:dyDescent="0.35">
      <c r="A182" s="62" t="s">
        <v>1833</v>
      </c>
      <c r="B182" s="186" t="s">
        <v>430</v>
      </c>
    </row>
    <row r="183" spans="1:2" ht="21" x14ac:dyDescent="0.35">
      <c r="A183" s="62" t="s">
        <v>1834</v>
      </c>
      <c r="B183" s="186" t="s">
        <v>431</v>
      </c>
    </row>
    <row r="184" spans="1:2" ht="21" x14ac:dyDescent="0.35">
      <c r="A184" s="62" t="s">
        <v>1835</v>
      </c>
      <c r="B184" s="186" t="s">
        <v>432</v>
      </c>
    </row>
    <row r="185" spans="1:2" ht="21" x14ac:dyDescent="0.35">
      <c r="A185" s="62" t="s">
        <v>1836</v>
      </c>
      <c r="B185" s="186" t="s">
        <v>433</v>
      </c>
    </row>
    <row r="186" spans="1:2" ht="21" x14ac:dyDescent="0.35">
      <c r="A186" s="62" t="s">
        <v>1837</v>
      </c>
      <c r="B186" s="186" t="s">
        <v>434</v>
      </c>
    </row>
    <row r="187" spans="1:2" ht="21" x14ac:dyDescent="0.35">
      <c r="A187" s="62" t="s">
        <v>1838</v>
      </c>
      <c r="B187" s="186" t="s">
        <v>435</v>
      </c>
    </row>
    <row r="188" spans="1:2" ht="21" x14ac:dyDescent="0.35">
      <c r="A188" s="62" t="s">
        <v>1839</v>
      </c>
      <c r="B188" s="186" t="s">
        <v>436</v>
      </c>
    </row>
    <row r="189" spans="1:2" ht="21" x14ac:dyDescent="0.35">
      <c r="A189" s="62" t="s">
        <v>1840</v>
      </c>
      <c r="B189" s="186" t="s">
        <v>437</v>
      </c>
    </row>
    <row r="190" spans="1:2" ht="21" x14ac:dyDescent="0.35">
      <c r="A190" s="62" t="s">
        <v>1841</v>
      </c>
      <c r="B190" s="186" t="s">
        <v>438</v>
      </c>
    </row>
    <row r="191" spans="1:2" ht="21" x14ac:dyDescent="0.35">
      <c r="A191" s="62" t="s">
        <v>1842</v>
      </c>
      <c r="B191" s="186" t="s">
        <v>439</v>
      </c>
    </row>
    <row r="192" spans="1:2" ht="21" x14ac:dyDescent="0.35">
      <c r="A192" s="62" t="s">
        <v>1843</v>
      </c>
      <c r="B192" s="186" t="s">
        <v>440</v>
      </c>
    </row>
    <row r="193" spans="1:4" ht="21" x14ac:dyDescent="0.35">
      <c r="A193" s="62" t="s">
        <v>1844</v>
      </c>
      <c r="B193" s="186" t="s">
        <v>441</v>
      </c>
    </row>
    <row r="194" spans="1:4" ht="21" x14ac:dyDescent="0.35">
      <c r="A194" s="62" t="s">
        <v>1845</v>
      </c>
      <c r="B194" s="186" t="s">
        <v>442</v>
      </c>
    </row>
    <row r="195" spans="1:4" ht="21" x14ac:dyDescent="0.35">
      <c r="A195" s="62" t="s">
        <v>1846</v>
      </c>
      <c r="B195" s="186" t="s">
        <v>443</v>
      </c>
    </row>
    <row r="196" spans="1:4" ht="21" x14ac:dyDescent="0.35">
      <c r="A196" s="62" t="s">
        <v>1847</v>
      </c>
      <c r="B196" s="186" t="s">
        <v>444</v>
      </c>
    </row>
    <row r="197" spans="1:4" ht="21" x14ac:dyDescent="0.35">
      <c r="A197" s="62" t="s">
        <v>1848</v>
      </c>
      <c r="B197" s="186" t="s">
        <v>445</v>
      </c>
    </row>
    <row r="198" spans="1:4" ht="21" x14ac:dyDescent="0.35">
      <c r="A198" s="62" t="s">
        <v>1849</v>
      </c>
      <c r="B198" s="186" t="s">
        <v>446</v>
      </c>
    </row>
    <row r="199" spans="1:4" ht="21" x14ac:dyDescent="0.35">
      <c r="A199" s="62" t="s">
        <v>1850</v>
      </c>
      <c r="B199" s="186" t="s">
        <v>447</v>
      </c>
    </row>
    <row r="200" spans="1:4" ht="21" x14ac:dyDescent="0.35">
      <c r="A200" s="62" t="s">
        <v>1851</v>
      </c>
      <c r="B200" s="186" t="s">
        <v>448</v>
      </c>
    </row>
    <row r="201" spans="1:4" ht="21" x14ac:dyDescent="0.35">
      <c r="A201" s="62" t="s">
        <v>1852</v>
      </c>
      <c r="B201" s="186" t="s">
        <v>449</v>
      </c>
    </row>
    <row r="202" spans="1:4" ht="21" x14ac:dyDescent="0.35">
      <c r="A202" s="62" t="s">
        <v>1853</v>
      </c>
      <c r="B202" s="186" t="s">
        <v>450</v>
      </c>
    </row>
    <row r="203" spans="1:4" ht="21" x14ac:dyDescent="0.35">
      <c r="A203" s="62" t="s">
        <v>1854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1104</v>
      </c>
      <c r="B205" s="186" t="s">
        <v>321</v>
      </c>
    </row>
    <row r="206" spans="1:4" ht="21" x14ac:dyDescent="0.35">
      <c r="A206" s="62" t="s">
        <v>1107</v>
      </c>
      <c r="B206" s="186" t="s">
        <v>0</v>
      </c>
    </row>
    <row r="207" spans="1:4" ht="21" x14ac:dyDescent="0.35">
      <c r="A207" s="62" t="s">
        <v>1866</v>
      </c>
      <c r="B207" s="186" t="s">
        <v>1029</v>
      </c>
    </row>
    <row r="208" spans="1:4" ht="21" x14ac:dyDescent="0.35">
      <c r="A208" s="62" t="s">
        <v>1105</v>
      </c>
      <c r="B208" s="186" t="s">
        <v>938</v>
      </c>
    </row>
    <row r="209" spans="1:4" ht="21" x14ac:dyDescent="0.35">
      <c r="A209" s="62" t="s">
        <v>1106</v>
      </c>
      <c r="B209" s="186" t="s">
        <v>97</v>
      </c>
    </row>
    <row r="210" spans="1:4" ht="21" x14ac:dyDescent="0.35">
      <c r="A210" s="55" t="s">
        <v>1865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1108</v>
      </c>
      <c r="B212" s="408" t="s">
        <v>936</v>
      </c>
    </row>
    <row r="213" spans="1:4" ht="21" x14ac:dyDescent="0.35">
      <c r="A213" s="458" t="s">
        <v>1109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1110</v>
      </c>
      <c r="B215" s="186" t="s">
        <v>964</v>
      </c>
    </row>
    <row r="216" spans="1:4" ht="21" x14ac:dyDescent="0.35">
      <c r="A216" s="62" t="s">
        <v>1111</v>
      </c>
      <c r="B216" s="186" t="s">
        <v>704</v>
      </c>
    </row>
    <row r="217" spans="1:4" ht="21" x14ac:dyDescent="0.35">
      <c r="A217" s="62" t="s">
        <v>1112</v>
      </c>
      <c r="B217" s="186" t="s">
        <v>548</v>
      </c>
    </row>
    <row r="218" spans="1:4" ht="21" x14ac:dyDescent="0.35">
      <c r="A218" s="62" t="s">
        <v>1113</v>
      </c>
      <c r="B218" s="113" t="s">
        <v>755</v>
      </c>
    </row>
    <row r="219" spans="1:4" ht="21" x14ac:dyDescent="0.35">
      <c r="A219" s="62" t="s">
        <v>1114</v>
      </c>
      <c r="B219" s="113" t="s">
        <v>756</v>
      </c>
    </row>
    <row r="220" spans="1:4" ht="21" x14ac:dyDescent="0.35">
      <c r="A220" s="62" t="s">
        <v>1115</v>
      </c>
      <c r="B220" s="113" t="s">
        <v>757</v>
      </c>
    </row>
    <row r="221" spans="1:4" ht="21" x14ac:dyDescent="0.35">
      <c r="A221" s="62" t="s">
        <v>1116</v>
      </c>
      <c r="B221" s="113" t="s">
        <v>758</v>
      </c>
    </row>
    <row r="222" spans="1:4" ht="21" x14ac:dyDescent="0.35">
      <c r="A222" s="62" t="s">
        <v>1117</v>
      </c>
      <c r="B222" s="113" t="s">
        <v>759</v>
      </c>
    </row>
    <row r="223" spans="1:4" ht="21" x14ac:dyDescent="0.35">
      <c r="A223" s="62" t="s">
        <v>1118</v>
      </c>
      <c r="B223" s="113" t="s">
        <v>760</v>
      </c>
    </row>
    <row r="224" spans="1:4" ht="21" x14ac:dyDescent="0.35">
      <c r="A224" s="62" t="s">
        <v>1119</v>
      </c>
      <c r="B224" s="113" t="s">
        <v>761</v>
      </c>
    </row>
    <row r="225" spans="1:4" ht="21" x14ac:dyDescent="0.35">
      <c r="A225" s="62" t="s">
        <v>1120</v>
      </c>
      <c r="B225" s="113" t="s">
        <v>762</v>
      </c>
    </row>
    <row r="226" spans="1:4" ht="21" x14ac:dyDescent="0.35">
      <c r="A226" s="62" t="s">
        <v>1121</v>
      </c>
      <c r="B226" s="113" t="s">
        <v>763</v>
      </c>
    </row>
    <row r="227" spans="1:4" ht="21" x14ac:dyDescent="0.35">
      <c r="A227" s="62" t="s">
        <v>1122</v>
      </c>
      <c r="B227" s="113" t="s">
        <v>562</v>
      </c>
      <c r="D227" s="188"/>
    </row>
    <row r="228" spans="1:4" ht="21" x14ac:dyDescent="0.35">
      <c r="A228" s="62" t="s">
        <v>1123</v>
      </c>
      <c r="B228" s="113" t="s">
        <v>764</v>
      </c>
      <c r="D228" s="188"/>
    </row>
    <row r="229" spans="1:4" ht="21" x14ac:dyDescent="0.35">
      <c r="A229" s="62" t="s">
        <v>1124</v>
      </c>
      <c r="B229" s="113" t="s">
        <v>765</v>
      </c>
      <c r="D229" s="188"/>
    </row>
    <row r="230" spans="1:4" ht="21" x14ac:dyDescent="0.35">
      <c r="A230" s="62" t="s">
        <v>1125</v>
      </c>
      <c r="B230" s="113" t="s">
        <v>766</v>
      </c>
      <c r="D230" s="188"/>
    </row>
    <row r="231" spans="1:4" ht="21" x14ac:dyDescent="0.35">
      <c r="A231" s="62" t="s">
        <v>1126</v>
      </c>
      <c r="B231" s="113" t="s">
        <v>767</v>
      </c>
      <c r="D231" s="188"/>
    </row>
    <row r="232" spans="1:4" ht="21" x14ac:dyDescent="0.35">
      <c r="A232" s="62" t="s">
        <v>1127</v>
      </c>
      <c r="B232" s="113" t="s">
        <v>768</v>
      </c>
      <c r="D232" s="188"/>
    </row>
    <row r="233" spans="1:4" ht="21" x14ac:dyDescent="0.35">
      <c r="A233" s="62" t="s">
        <v>1128</v>
      </c>
      <c r="B233" s="113" t="s">
        <v>827</v>
      </c>
      <c r="D233" s="188"/>
    </row>
    <row r="234" spans="1:4" ht="21" x14ac:dyDescent="0.35">
      <c r="A234" s="62" t="s">
        <v>1129</v>
      </c>
      <c r="B234" s="113" t="s">
        <v>769</v>
      </c>
      <c r="D234" s="188"/>
    </row>
    <row r="235" spans="1:4" ht="21" x14ac:dyDescent="0.35">
      <c r="A235" s="62" t="s">
        <v>1130</v>
      </c>
      <c r="B235" s="113" t="s">
        <v>770</v>
      </c>
      <c r="D235" s="188"/>
    </row>
    <row r="236" spans="1:4" ht="21" x14ac:dyDescent="0.35">
      <c r="A236" s="62" t="s">
        <v>1131</v>
      </c>
      <c r="B236" s="113" t="s">
        <v>771</v>
      </c>
      <c r="D236" s="188"/>
    </row>
    <row r="237" spans="1:4" ht="21" x14ac:dyDescent="0.35">
      <c r="A237" s="62" t="s">
        <v>1132</v>
      </c>
      <c r="B237" s="113" t="s">
        <v>772</v>
      </c>
      <c r="D237" s="188"/>
    </row>
    <row r="238" spans="1:4" ht="21" x14ac:dyDescent="0.35">
      <c r="A238" s="62" t="s">
        <v>1133</v>
      </c>
      <c r="B238" s="113" t="s">
        <v>773</v>
      </c>
      <c r="D238" s="188"/>
    </row>
    <row r="239" spans="1:4" ht="21" x14ac:dyDescent="0.35">
      <c r="A239" s="62" t="s">
        <v>1134</v>
      </c>
      <c r="B239" s="113" t="s">
        <v>950</v>
      </c>
      <c r="D239" s="188"/>
    </row>
    <row r="240" spans="1:4" ht="21" x14ac:dyDescent="0.35">
      <c r="A240" s="62" t="s">
        <v>1135</v>
      </c>
      <c r="B240" s="113" t="s">
        <v>774</v>
      </c>
      <c r="D240" s="188"/>
    </row>
    <row r="241" spans="1:4" ht="21" x14ac:dyDescent="0.35">
      <c r="A241" s="62" t="s">
        <v>1136</v>
      </c>
      <c r="B241" s="113" t="s">
        <v>775</v>
      </c>
      <c r="D241" s="188"/>
    </row>
    <row r="242" spans="1:4" ht="21" x14ac:dyDescent="0.35">
      <c r="A242" s="62" t="s">
        <v>1137</v>
      </c>
      <c r="B242" s="113" t="s">
        <v>776</v>
      </c>
      <c r="D242" s="188"/>
    </row>
    <row r="243" spans="1:4" ht="21" x14ac:dyDescent="0.35">
      <c r="A243" s="62" t="s">
        <v>1138</v>
      </c>
      <c r="B243" s="113" t="s">
        <v>777</v>
      </c>
      <c r="D243" s="188"/>
    </row>
    <row r="244" spans="1:4" ht="21" x14ac:dyDescent="0.35">
      <c r="A244" s="62" t="s">
        <v>1139</v>
      </c>
      <c r="B244" s="113" t="s">
        <v>569</v>
      </c>
      <c r="D244" s="188"/>
    </row>
    <row r="245" spans="1:4" ht="21" x14ac:dyDescent="0.35">
      <c r="A245" s="62" t="s">
        <v>1140</v>
      </c>
      <c r="B245" s="113" t="s">
        <v>778</v>
      </c>
      <c r="D245" s="188"/>
    </row>
    <row r="246" spans="1:4" ht="21" x14ac:dyDescent="0.35">
      <c r="A246" s="62" t="s">
        <v>1141</v>
      </c>
      <c r="B246" s="113" t="s">
        <v>779</v>
      </c>
      <c r="D246" s="188"/>
    </row>
    <row r="247" spans="1:4" ht="21" x14ac:dyDescent="0.35">
      <c r="A247" s="62" t="s">
        <v>1142</v>
      </c>
      <c r="B247" s="113" t="s">
        <v>780</v>
      </c>
      <c r="D247" s="188"/>
    </row>
    <row r="248" spans="1:4" ht="21" x14ac:dyDescent="0.35">
      <c r="A248" s="62" t="s">
        <v>1143</v>
      </c>
      <c r="B248" s="113" t="s">
        <v>781</v>
      </c>
      <c r="D248" s="188"/>
    </row>
    <row r="249" spans="1:4" ht="21" x14ac:dyDescent="0.35">
      <c r="A249" s="62" t="s">
        <v>1144</v>
      </c>
      <c r="B249" s="113" t="s">
        <v>782</v>
      </c>
      <c r="D249" s="188"/>
    </row>
    <row r="250" spans="1:4" ht="21" x14ac:dyDescent="0.35">
      <c r="A250" s="62" t="s">
        <v>1145</v>
      </c>
      <c r="B250" s="113" t="s">
        <v>783</v>
      </c>
      <c r="D250" s="188"/>
    </row>
    <row r="251" spans="1:4" ht="21" x14ac:dyDescent="0.35">
      <c r="A251" s="62" t="s">
        <v>1146</v>
      </c>
      <c r="B251" s="113" t="s">
        <v>784</v>
      </c>
      <c r="D251" s="188"/>
    </row>
    <row r="252" spans="1:4" ht="21" x14ac:dyDescent="0.35">
      <c r="A252" s="62" t="s">
        <v>1147</v>
      </c>
      <c r="B252" s="113" t="s">
        <v>785</v>
      </c>
      <c r="D252" s="188"/>
    </row>
    <row r="253" spans="1:4" ht="21" x14ac:dyDescent="0.35">
      <c r="A253" s="62" t="s">
        <v>1148</v>
      </c>
      <c r="B253" s="113" t="s">
        <v>786</v>
      </c>
      <c r="D253" s="188"/>
    </row>
    <row r="254" spans="1:4" ht="21" x14ac:dyDescent="0.35">
      <c r="A254" s="62" t="s">
        <v>1148</v>
      </c>
      <c r="B254" s="113" t="s">
        <v>787</v>
      </c>
      <c r="D254" s="188"/>
    </row>
    <row r="255" spans="1:4" ht="21" x14ac:dyDescent="0.35">
      <c r="A255" s="62" t="s">
        <v>1149</v>
      </c>
      <c r="B255" s="113" t="s">
        <v>788</v>
      </c>
      <c r="D255" s="188"/>
    </row>
    <row r="256" spans="1:4" ht="21" x14ac:dyDescent="0.35">
      <c r="A256" s="62" t="s">
        <v>1150</v>
      </c>
      <c r="B256" s="113" t="s">
        <v>789</v>
      </c>
      <c r="D256" s="188"/>
    </row>
    <row r="257" spans="1:4" ht="21" x14ac:dyDescent="0.35">
      <c r="A257" s="62" t="s">
        <v>1151</v>
      </c>
      <c r="B257" s="113" t="s">
        <v>790</v>
      </c>
      <c r="D257" s="188"/>
    </row>
    <row r="258" spans="1:4" ht="21" x14ac:dyDescent="0.35">
      <c r="A258" s="62" t="s">
        <v>1152</v>
      </c>
      <c r="B258" s="113" t="s">
        <v>791</v>
      </c>
      <c r="D258" s="188"/>
    </row>
    <row r="259" spans="1:4" ht="21" x14ac:dyDescent="0.35">
      <c r="A259" s="62" t="s">
        <v>1153</v>
      </c>
      <c r="B259" s="113" t="s">
        <v>792</v>
      </c>
      <c r="D259" s="188"/>
    </row>
    <row r="260" spans="1:4" ht="21" x14ac:dyDescent="0.35">
      <c r="A260" s="62" t="s">
        <v>1154</v>
      </c>
      <c r="B260" s="113" t="s">
        <v>793</v>
      </c>
      <c r="D260" s="188"/>
    </row>
    <row r="261" spans="1:4" ht="21" x14ac:dyDescent="0.35">
      <c r="A261" s="62" t="s">
        <v>1155</v>
      </c>
      <c r="B261" s="113" t="s">
        <v>794</v>
      </c>
      <c r="D261" s="188"/>
    </row>
    <row r="262" spans="1:4" ht="21" x14ac:dyDescent="0.35">
      <c r="A262" s="62" t="s">
        <v>1156</v>
      </c>
      <c r="B262" s="113" t="s">
        <v>795</v>
      </c>
      <c r="D262" s="188"/>
    </row>
    <row r="263" spans="1:4" ht="21" x14ac:dyDescent="0.35">
      <c r="A263" s="62" t="s">
        <v>1157</v>
      </c>
      <c r="B263" s="113" t="s">
        <v>796</v>
      </c>
      <c r="D263" s="188"/>
    </row>
    <row r="264" spans="1:4" ht="21" x14ac:dyDescent="0.35">
      <c r="A264" s="62" t="s">
        <v>1158</v>
      </c>
      <c r="B264" s="113" t="s">
        <v>797</v>
      </c>
      <c r="D264" s="188"/>
    </row>
    <row r="265" spans="1:4" ht="21" x14ac:dyDescent="0.35">
      <c r="A265" s="62" t="s">
        <v>1159</v>
      </c>
      <c r="B265" s="113" t="s">
        <v>798</v>
      </c>
      <c r="D265" s="188"/>
    </row>
    <row r="266" spans="1:4" ht="21" x14ac:dyDescent="0.35">
      <c r="A266" s="62" t="s">
        <v>1160</v>
      </c>
      <c r="B266" s="113" t="s">
        <v>799</v>
      </c>
      <c r="D266" s="188"/>
    </row>
    <row r="267" spans="1:4" ht="21" x14ac:dyDescent="0.35">
      <c r="A267" s="62" t="s">
        <v>1161</v>
      </c>
      <c r="B267" s="113" t="s">
        <v>800</v>
      </c>
      <c r="D267" s="188"/>
    </row>
    <row r="268" spans="1:4" ht="21" x14ac:dyDescent="0.35">
      <c r="A268" s="62" t="s">
        <v>1162</v>
      </c>
      <c r="B268" s="113" t="s">
        <v>801</v>
      </c>
      <c r="D268" s="188"/>
    </row>
    <row r="269" spans="1:4" ht="21" x14ac:dyDescent="0.35">
      <c r="A269" s="62" t="s">
        <v>1163</v>
      </c>
      <c r="B269" s="113" t="s">
        <v>802</v>
      </c>
      <c r="D269" s="188"/>
    </row>
    <row r="270" spans="1:4" ht="21" x14ac:dyDescent="0.35">
      <c r="A270" s="62" t="s">
        <v>1164</v>
      </c>
      <c r="B270" s="113" t="s">
        <v>803</v>
      </c>
      <c r="D270" s="188"/>
    </row>
    <row r="271" spans="1:4" ht="21" x14ac:dyDescent="0.35">
      <c r="A271" s="62" t="s">
        <v>1165</v>
      </c>
      <c r="B271" s="113" t="s">
        <v>804</v>
      </c>
      <c r="D271" s="188"/>
    </row>
    <row r="272" spans="1:4" ht="21" x14ac:dyDescent="0.35">
      <c r="A272" s="62" t="s">
        <v>1166</v>
      </c>
      <c r="B272" s="113" t="s">
        <v>805</v>
      </c>
      <c r="D272" s="188"/>
    </row>
    <row r="273" spans="1:4" ht="21" x14ac:dyDescent="0.35">
      <c r="A273" s="62" t="s">
        <v>1167</v>
      </c>
      <c r="B273" s="113" t="s">
        <v>806</v>
      </c>
      <c r="D273" s="188"/>
    </row>
    <row r="274" spans="1:4" ht="21" x14ac:dyDescent="0.35">
      <c r="A274" s="62" t="s">
        <v>1168</v>
      </c>
      <c r="B274" s="113" t="s">
        <v>807</v>
      </c>
      <c r="D274" s="188"/>
    </row>
    <row r="275" spans="1:4" ht="21" x14ac:dyDescent="0.35">
      <c r="A275" s="62" t="s">
        <v>1169</v>
      </c>
      <c r="B275" s="113" t="s">
        <v>808</v>
      </c>
      <c r="D275" s="188"/>
    </row>
    <row r="276" spans="1:4" ht="21" x14ac:dyDescent="0.35">
      <c r="A276" s="62" t="s">
        <v>1170</v>
      </c>
      <c r="B276" s="113" t="s">
        <v>928</v>
      </c>
      <c r="D276" s="188"/>
    </row>
    <row r="277" spans="1:4" ht="21" x14ac:dyDescent="0.35">
      <c r="A277" s="62" t="s">
        <v>1171</v>
      </c>
      <c r="B277" s="113" t="s">
        <v>809</v>
      </c>
      <c r="D277" s="188"/>
    </row>
    <row r="278" spans="1:4" ht="21" x14ac:dyDescent="0.35">
      <c r="A278" s="62" t="s">
        <v>1172</v>
      </c>
      <c r="B278" s="113" t="s">
        <v>810</v>
      </c>
      <c r="D278" s="188"/>
    </row>
    <row r="279" spans="1:4" ht="21" x14ac:dyDescent="0.35">
      <c r="A279" s="62" t="s">
        <v>1173</v>
      </c>
      <c r="B279" s="113" t="s">
        <v>811</v>
      </c>
      <c r="D279" s="188"/>
    </row>
    <row r="280" spans="1:4" ht="21" x14ac:dyDescent="0.35">
      <c r="A280" s="62" t="s">
        <v>1174</v>
      </c>
      <c r="B280" s="113" t="s">
        <v>812</v>
      </c>
      <c r="D280" s="188"/>
    </row>
    <row r="281" spans="1:4" ht="21" x14ac:dyDescent="0.35">
      <c r="A281" s="62" t="s">
        <v>1175</v>
      </c>
      <c r="B281" s="113" t="s">
        <v>952</v>
      </c>
      <c r="D281" s="188"/>
    </row>
    <row r="282" spans="1:4" ht="21" x14ac:dyDescent="0.35">
      <c r="A282" s="62" t="s">
        <v>1176</v>
      </c>
      <c r="B282" s="113" t="s">
        <v>813</v>
      </c>
      <c r="D282" s="188"/>
    </row>
    <row r="283" spans="1:4" ht="21" x14ac:dyDescent="0.35">
      <c r="A283" s="62" t="s">
        <v>1177</v>
      </c>
      <c r="B283" s="113" t="s">
        <v>953</v>
      </c>
      <c r="D283" s="188"/>
    </row>
    <row r="284" spans="1:4" ht="21" x14ac:dyDescent="0.35">
      <c r="A284" s="62" t="s">
        <v>1178</v>
      </c>
      <c r="B284" s="113" t="s">
        <v>814</v>
      </c>
      <c r="D284" s="188"/>
    </row>
    <row r="285" spans="1:4" ht="21" x14ac:dyDescent="0.35">
      <c r="A285" s="62" t="s">
        <v>1179</v>
      </c>
      <c r="B285" s="113" t="s">
        <v>954</v>
      </c>
      <c r="D285" s="188"/>
    </row>
    <row r="286" spans="1:4" ht="21" x14ac:dyDescent="0.35">
      <c r="A286" s="62" t="s">
        <v>1180</v>
      </c>
      <c r="B286" s="113" t="s">
        <v>970</v>
      </c>
      <c r="D286" s="188"/>
    </row>
    <row r="287" spans="1:4" ht="21" x14ac:dyDescent="0.35">
      <c r="A287" s="62" t="s">
        <v>1181</v>
      </c>
      <c r="B287" s="113" t="s">
        <v>955</v>
      </c>
      <c r="D287" s="188"/>
    </row>
    <row r="288" spans="1:4" ht="21" x14ac:dyDescent="0.35">
      <c r="A288" s="62" t="s">
        <v>1182</v>
      </c>
      <c r="B288" s="113" t="s">
        <v>956</v>
      </c>
      <c r="D288" s="188"/>
    </row>
    <row r="289" spans="1:4" ht="21" x14ac:dyDescent="0.35">
      <c r="A289" s="62" t="s">
        <v>1183</v>
      </c>
      <c r="B289" s="113" t="s">
        <v>957</v>
      </c>
      <c r="D289" s="188"/>
    </row>
    <row r="290" spans="1:4" ht="21" x14ac:dyDescent="0.35">
      <c r="A290" s="62" t="s">
        <v>1184</v>
      </c>
      <c r="B290" s="113" t="s">
        <v>958</v>
      </c>
      <c r="D290" s="188"/>
    </row>
    <row r="291" spans="1:4" ht="21" x14ac:dyDescent="0.35">
      <c r="A291" s="62" t="s">
        <v>1185</v>
      </c>
      <c r="B291" s="113" t="s">
        <v>962</v>
      </c>
      <c r="D291" s="188"/>
    </row>
    <row r="292" spans="1:4" ht="21" x14ac:dyDescent="0.35">
      <c r="A292" s="62" t="s">
        <v>1186</v>
      </c>
      <c r="B292" s="113" t="s">
        <v>959</v>
      </c>
      <c r="D292" s="188"/>
    </row>
    <row r="293" spans="1:4" ht="21" x14ac:dyDescent="0.35">
      <c r="A293" s="62" t="s">
        <v>1187</v>
      </c>
      <c r="B293" s="113" t="s">
        <v>960</v>
      </c>
      <c r="D293" s="188"/>
    </row>
    <row r="294" spans="1:4" ht="21" x14ac:dyDescent="0.35">
      <c r="A294" s="62" t="s">
        <v>1188</v>
      </c>
      <c r="B294" s="113" t="s">
        <v>961</v>
      </c>
      <c r="D294" s="188"/>
    </row>
    <row r="295" spans="1:4" ht="21" x14ac:dyDescent="0.35">
      <c r="A295" s="62" t="s">
        <v>1189</v>
      </c>
      <c r="B295" s="113" t="s">
        <v>161</v>
      </c>
      <c r="D295" s="188"/>
    </row>
    <row r="296" spans="1:4" ht="21" x14ac:dyDescent="0.35">
      <c r="A296" s="62" t="s">
        <v>1190</v>
      </c>
      <c r="B296" s="113" t="s">
        <v>815</v>
      </c>
      <c r="D296" s="188"/>
    </row>
    <row r="297" spans="1:4" ht="21" x14ac:dyDescent="0.35">
      <c r="A297" s="62" t="s">
        <v>1191</v>
      </c>
      <c r="B297" s="113" t="s">
        <v>816</v>
      </c>
      <c r="D297" s="188"/>
    </row>
    <row r="298" spans="1:4" ht="21" x14ac:dyDescent="0.35">
      <c r="A298" s="62" t="s">
        <v>1192</v>
      </c>
      <c r="B298" s="113" t="s">
        <v>817</v>
      </c>
      <c r="D298" s="188"/>
    </row>
    <row r="299" spans="1:4" ht="21" x14ac:dyDescent="0.35">
      <c r="A299" s="62" t="s">
        <v>1193</v>
      </c>
      <c r="B299" s="113" t="s">
        <v>818</v>
      </c>
      <c r="D299" s="188"/>
    </row>
    <row r="300" spans="1:4" ht="21" x14ac:dyDescent="0.35">
      <c r="A300" s="62" t="s">
        <v>1194</v>
      </c>
      <c r="B300" s="113" t="s">
        <v>819</v>
      </c>
      <c r="D300" s="188"/>
    </row>
    <row r="301" spans="1:4" ht="21" x14ac:dyDescent="0.35">
      <c r="A301" s="62" t="s">
        <v>1195</v>
      </c>
      <c r="B301" s="113" t="s">
        <v>820</v>
      </c>
      <c r="D301" s="188"/>
    </row>
    <row r="302" spans="1:4" ht="21" x14ac:dyDescent="0.35">
      <c r="A302" s="62" t="s">
        <v>1196</v>
      </c>
      <c r="B302" s="113" t="s">
        <v>821</v>
      </c>
      <c r="D302" s="188"/>
    </row>
    <row r="303" spans="1:4" ht="21" x14ac:dyDescent="0.35">
      <c r="A303" s="62" t="s">
        <v>1197</v>
      </c>
      <c r="B303" s="113" t="s">
        <v>825</v>
      </c>
      <c r="D303" s="188"/>
    </row>
    <row r="304" spans="1:4" ht="21" x14ac:dyDescent="0.35">
      <c r="A304" s="62" t="s">
        <v>1198</v>
      </c>
      <c r="B304" s="113" t="s">
        <v>824</v>
      </c>
      <c r="D304" s="188"/>
    </row>
    <row r="305" spans="1:4" ht="21" x14ac:dyDescent="0.35">
      <c r="A305" s="62" t="s">
        <v>1199</v>
      </c>
      <c r="B305" s="113" t="s">
        <v>822</v>
      </c>
      <c r="D305" s="188"/>
    </row>
    <row r="306" spans="1:4" ht="21" x14ac:dyDescent="0.35">
      <c r="A306" s="62" t="s">
        <v>1200</v>
      </c>
      <c r="B306" s="113" t="s">
        <v>826</v>
      </c>
      <c r="D306" s="188"/>
    </row>
    <row r="307" spans="1:4" ht="21" x14ac:dyDescent="0.35">
      <c r="A307" s="62" t="s">
        <v>1201</v>
      </c>
      <c r="B307" s="113" t="s">
        <v>686</v>
      </c>
    </row>
    <row r="308" spans="1:4" ht="21" x14ac:dyDescent="0.35">
      <c r="A308" s="62" t="s">
        <v>1202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1203</v>
      </c>
      <c r="B311" s="186" t="s">
        <v>680</v>
      </c>
    </row>
    <row r="312" spans="1:4" ht="21" x14ac:dyDescent="0.35">
      <c r="A312" s="62" t="s">
        <v>1204</v>
      </c>
      <c r="B312" s="186" t="s">
        <v>694</v>
      </c>
    </row>
    <row r="313" spans="1:4" ht="21" x14ac:dyDescent="0.35">
      <c r="A313" s="62" t="s">
        <v>1205</v>
      </c>
      <c r="B313" s="186" t="s">
        <v>697</v>
      </c>
    </row>
    <row r="314" spans="1:4" ht="21" x14ac:dyDescent="0.35">
      <c r="A314" s="216" t="s">
        <v>1206</v>
      </c>
      <c r="B314" s="186" t="s">
        <v>696</v>
      </c>
    </row>
    <row r="315" spans="1:4" ht="21" x14ac:dyDescent="0.35">
      <c r="A315" s="216" t="s">
        <v>1207</v>
      </c>
      <c r="B315" s="186" t="s">
        <v>693</v>
      </c>
    </row>
    <row r="316" spans="1:4" ht="21" x14ac:dyDescent="0.35">
      <c r="A316" s="216" t="s">
        <v>1208</v>
      </c>
      <c r="B316" s="186" t="s">
        <v>963</v>
      </c>
    </row>
    <row r="317" spans="1:4" ht="21" x14ac:dyDescent="0.35">
      <c r="A317" s="216" t="s">
        <v>1209</v>
      </c>
      <c r="B317" s="186" t="s">
        <v>700</v>
      </c>
    </row>
    <row r="318" spans="1:4" ht="21" x14ac:dyDescent="0.35">
      <c r="A318" s="216" t="s">
        <v>1210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1211</v>
      </c>
      <c r="B321" s="186" t="s">
        <v>688</v>
      </c>
    </row>
    <row r="322" spans="1:4" ht="21" x14ac:dyDescent="0.35">
      <c r="A322" s="62" t="s">
        <v>1201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1212</v>
      </c>
      <c r="B324" s="186" t="s">
        <v>940</v>
      </c>
    </row>
    <row r="325" spans="1:4" ht="21" x14ac:dyDescent="0.35">
      <c r="A325" s="62" t="s">
        <v>1213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1214</v>
      </c>
      <c r="B327" s="186" t="s">
        <v>212</v>
      </c>
    </row>
    <row r="328" spans="1:4" ht="21" x14ac:dyDescent="0.35">
      <c r="A328" s="62" t="s">
        <v>1215</v>
      </c>
      <c r="B328" s="186" t="s">
        <v>338</v>
      </c>
    </row>
    <row r="329" spans="1:4" ht="21" x14ac:dyDescent="0.35">
      <c r="A329" s="62" t="s">
        <v>1216</v>
      </c>
      <c r="B329" s="186" t="s">
        <v>159</v>
      </c>
    </row>
    <row r="330" spans="1:4" ht="21" x14ac:dyDescent="0.35">
      <c r="A330" s="62" t="s">
        <v>1217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1218</v>
      </c>
      <c r="B332" s="186" t="s">
        <v>213</v>
      </c>
    </row>
    <row r="333" spans="1:4" ht="21" x14ac:dyDescent="0.35">
      <c r="A333" s="62" t="s">
        <v>1219</v>
      </c>
      <c r="B333" s="186" t="s">
        <v>945</v>
      </c>
    </row>
    <row r="334" spans="1:4" ht="21" x14ac:dyDescent="0.35">
      <c r="A334" s="62" t="s">
        <v>1220</v>
      </c>
      <c r="B334" s="186" t="s">
        <v>127</v>
      </c>
    </row>
    <row r="335" spans="1:4" ht="21" x14ac:dyDescent="0.35">
      <c r="A335" s="62" t="s">
        <v>1221</v>
      </c>
      <c r="B335" s="186" t="s">
        <v>128</v>
      </c>
    </row>
    <row r="336" spans="1:4" ht="21" x14ac:dyDescent="0.35">
      <c r="A336" s="62" t="s">
        <v>1222</v>
      </c>
      <c r="B336" s="186" t="s">
        <v>129</v>
      </c>
    </row>
    <row r="337" spans="1:4" ht="21" x14ac:dyDescent="0.35">
      <c r="A337" s="62" t="s">
        <v>1223</v>
      </c>
      <c r="B337" s="186" t="s">
        <v>130</v>
      </c>
    </row>
    <row r="338" spans="1:4" ht="21" x14ac:dyDescent="0.35">
      <c r="A338" s="62" t="s">
        <v>1224</v>
      </c>
      <c r="B338" s="186" t="s">
        <v>131</v>
      </c>
    </row>
    <row r="339" spans="1:4" ht="21" x14ac:dyDescent="0.35">
      <c r="A339" s="62" t="s">
        <v>1225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1226</v>
      </c>
      <c r="B341" s="186" t="s">
        <v>730</v>
      </c>
    </row>
    <row r="342" spans="1:4" ht="21" x14ac:dyDescent="0.35">
      <c r="A342" s="62" t="s">
        <v>1227</v>
      </c>
      <c r="B342" s="186" t="s">
        <v>122</v>
      </c>
    </row>
    <row r="343" spans="1:4" ht="21" x14ac:dyDescent="0.35">
      <c r="A343" s="62" t="s">
        <v>1228</v>
      </c>
      <c r="B343" s="186" t="s">
        <v>123</v>
      </c>
    </row>
    <row r="344" spans="1:4" ht="21" x14ac:dyDescent="0.35">
      <c r="A344" s="62" t="s">
        <v>1229</v>
      </c>
      <c r="B344" s="186" t="s">
        <v>116</v>
      </c>
    </row>
    <row r="345" spans="1:4" ht="21" x14ac:dyDescent="0.35">
      <c r="A345" s="62" t="s">
        <v>1230</v>
      </c>
      <c r="B345" s="186" t="s">
        <v>124</v>
      </c>
    </row>
    <row r="346" spans="1:4" ht="21" x14ac:dyDescent="0.35">
      <c r="A346" s="62" t="s">
        <v>1231</v>
      </c>
      <c r="B346" s="186" t="s">
        <v>339</v>
      </c>
    </row>
    <row r="347" spans="1:4" ht="21" x14ac:dyDescent="0.35">
      <c r="A347" s="62" t="s">
        <v>1232</v>
      </c>
      <c r="B347" s="186" t="s">
        <v>174</v>
      </c>
    </row>
    <row r="348" spans="1:4" ht="21" x14ac:dyDescent="0.35">
      <c r="A348" s="62" t="s">
        <v>1233</v>
      </c>
      <c r="B348" s="186" t="s">
        <v>340</v>
      </c>
    </row>
    <row r="349" spans="1:4" ht="21" x14ac:dyDescent="0.35">
      <c r="A349" s="62" t="s">
        <v>1234</v>
      </c>
      <c r="B349" s="186" t="s">
        <v>125</v>
      </c>
    </row>
    <row r="350" spans="1:4" ht="21" x14ac:dyDescent="0.35">
      <c r="A350" s="62" t="s">
        <v>1235</v>
      </c>
      <c r="B350" s="186" t="s">
        <v>119</v>
      </c>
    </row>
    <row r="351" spans="1:4" ht="21" x14ac:dyDescent="0.35">
      <c r="A351" s="62" t="s">
        <v>1236</v>
      </c>
      <c r="B351" s="186" t="s">
        <v>971</v>
      </c>
    </row>
    <row r="352" spans="1:4" ht="21" x14ac:dyDescent="0.35">
      <c r="A352" s="62" t="s">
        <v>1237</v>
      </c>
      <c r="B352" s="186" t="s">
        <v>951</v>
      </c>
    </row>
    <row r="353" spans="1:13" ht="21" x14ac:dyDescent="0.35">
      <c r="A353" s="62" t="s">
        <v>1869</v>
      </c>
      <c r="B353" s="408" t="s">
        <v>972</v>
      </c>
    </row>
    <row r="354" spans="1:13" ht="21" x14ac:dyDescent="0.35">
      <c r="A354" s="454" t="s">
        <v>1238</v>
      </c>
      <c r="B354" s="408" t="s">
        <v>117</v>
      </c>
    </row>
    <row r="355" spans="1:13" ht="21" x14ac:dyDescent="0.35">
      <c r="A355" s="454" t="s">
        <v>1239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1279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1240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1241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1242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1243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1244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1245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1246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1247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1217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1248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1249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1189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1241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1242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1250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1244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1245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1246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1247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1217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1249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1189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1251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1252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1868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1254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1255</v>
      </c>
      <c r="B385" s="186" t="s">
        <v>150</v>
      </c>
    </row>
    <row r="386" spans="1:4" ht="21" x14ac:dyDescent="0.35">
      <c r="A386" s="62" t="s">
        <v>1256</v>
      </c>
      <c r="B386" s="186" t="s">
        <v>341</v>
      </c>
    </row>
    <row r="387" spans="1:4" ht="21" x14ac:dyDescent="0.35">
      <c r="A387" s="62" t="s">
        <v>1257</v>
      </c>
      <c r="B387" s="186" t="s">
        <v>140</v>
      </c>
    </row>
    <row r="388" spans="1:4" ht="21" x14ac:dyDescent="0.35">
      <c r="A388" s="62" t="s">
        <v>1255</v>
      </c>
      <c r="B388" s="186" t="str">
        <f>'(G1) Fjalori'!B639</f>
        <v>ESTIM. REVENUE FROM FEE</v>
      </c>
    </row>
    <row r="389" spans="1:4" ht="21" x14ac:dyDescent="0.35">
      <c r="A389" s="62" t="s">
        <v>1867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1192</v>
      </c>
      <c r="B390" s="186" t="str">
        <f>'(G1) Fjalori'!B640</f>
        <v>Conditional grants</v>
      </c>
      <c r="D390" s="188"/>
    </row>
    <row r="391" spans="1:4" ht="21" x14ac:dyDescent="0.35">
      <c r="A391" s="62" t="s">
        <v>1864</v>
      </c>
      <c r="B391" s="186" t="str">
        <f>'(G1) Fjalori'!B641</f>
        <v>Contributions</v>
      </c>
      <c r="D391" s="188"/>
    </row>
    <row r="392" spans="1:4" ht="21" x14ac:dyDescent="0.35">
      <c r="A392" s="62" t="s">
        <v>1201</v>
      </c>
      <c r="B392" s="186" t="str">
        <f>'(G1) Fjalori'!B642</f>
        <v>Earmarked carry overs</v>
      </c>
      <c r="D392" s="188"/>
    </row>
    <row r="393" spans="1:4" ht="21" x14ac:dyDescent="0.35">
      <c r="A393" s="62" t="s">
        <v>1259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1867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1260</v>
      </c>
      <c r="B395" s="186" t="str">
        <f>'(G1) Fjalori'!B645</f>
        <v>EXPECTED REVENUES</v>
      </c>
      <c r="D395" s="188"/>
    </row>
    <row r="396" spans="1:4" ht="21" x14ac:dyDescent="0.35">
      <c r="A396" s="62" t="s">
        <v>1261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1262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1251</v>
      </c>
      <c r="B398" s="186" t="str">
        <f>'(G1) Fjalori'!B593</f>
        <v>EXPECTED EXPENDITURES</v>
      </c>
      <c r="D398" s="188"/>
    </row>
    <row r="399" spans="1:4" ht="21" x14ac:dyDescent="0.35">
      <c r="A399" s="651" t="s">
        <v>1263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1264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1265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1266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1267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1268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1269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1270</v>
      </c>
      <c r="B406" s="186" t="str">
        <f>'(G1) Fjalori'!B601</f>
        <v>Minimum of capital investments</v>
      </c>
    </row>
    <row r="407" spans="1:4" ht="21" x14ac:dyDescent="0.35">
      <c r="A407" s="62" t="s">
        <v>1217</v>
      </c>
      <c r="B407" s="186" t="str">
        <f>'(G1) Fjalori'!B602</f>
        <v>Capital Investments</v>
      </c>
    </row>
    <row r="408" spans="1:4" ht="21" x14ac:dyDescent="0.35">
      <c r="A408" s="62" t="s">
        <v>1271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1272</v>
      </c>
      <c r="B409" s="186" t="s">
        <v>138</v>
      </c>
    </row>
    <row r="410" spans="1:4" ht="21" x14ac:dyDescent="0.35">
      <c r="A410" s="62" t="s">
        <v>1273</v>
      </c>
      <c r="B410" s="186" t="s">
        <v>136</v>
      </c>
    </row>
    <row r="411" spans="1:4" ht="21" x14ac:dyDescent="0.35">
      <c r="A411" s="62" t="s">
        <v>1274</v>
      </c>
      <c r="B411" s="186" t="s">
        <v>137</v>
      </c>
    </row>
    <row r="412" spans="1:4" ht="21" x14ac:dyDescent="0.35">
      <c r="A412" s="62" t="s">
        <v>1275</v>
      </c>
      <c r="B412" s="186" t="s">
        <v>148</v>
      </c>
    </row>
    <row r="413" spans="1:4" ht="21" x14ac:dyDescent="0.35">
      <c r="A413" s="62" t="s">
        <v>1213</v>
      </c>
      <c r="B413" s="186" t="s">
        <v>939</v>
      </c>
    </row>
    <row r="414" spans="1:4" ht="21" x14ac:dyDescent="0.35">
      <c r="A414" s="62" t="s">
        <v>1251</v>
      </c>
      <c r="B414" s="186" t="s">
        <v>149</v>
      </c>
    </row>
    <row r="415" spans="1:4" s="189" customFormat="1" ht="21" x14ac:dyDescent="0.35">
      <c r="A415" s="186" t="s">
        <v>1257</v>
      </c>
      <c r="B415" s="187"/>
      <c r="D415" s="195"/>
    </row>
    <row r="416" spans="1:4" ht="21" x14ac:dyDescent="0.35">
      <c r="A416" s="62" t="s">
        <v>1276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1277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1870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1858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1871</v>
      </c>
      <c r="B425" s="186" t="s">
        <v>358</v>
      </c>
    </row>
    <row r="426" spans="1:4" ht="21" x14ac:dyDescent="0.35">
      <c r="A426" s="62" t="s">
        <v>1278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1859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1721</v>
      </c>
      <c r="B430" s="186" t="s">
        <v>738</v>
      </c>
      <c r="D430" s="193"/>
    </row>
    <row r="431" spans="1:4" ht="21" x14ac:dyDescent="0.35">
      <c r="A431" s="62" t="s">
        <v>1215</v>
      </c>
      <c r="B431" s="186" t="s">
        <v>132</v>
      </c>
    </row>
    <row r="432" spans="1:4" ht="21" x14ac:dyDescent="0.35">
      <c r="A432" s="62" t="s">
        <v>1280</v>
      </c>
      <c r="B432" s="186" t="s">
        <v>739</v>
      </c>
    </row>
    <row r="433" spans="1:4" ht="21" x14ac:dyDescent="0.35">
      <c r="A433" s="62" t="s">
        <v>1281</v>
      </c>
      <c r="B433" s="186" t="s">
        <v>591</v>
      </c>
    </row>
    <row r="434" spans="1:4" ht="21" x14ac:dyDescent="0.35">
      <c r="A434" s="62" t="s">
        <v>1282</v>
      </c>
      <c r="B434" s="186" t="s">
        <v>592</v>
      </c>
    </row>
    <row r="435" spans="1:4" ht="21" x14ac:dyDescent="0.35">
      <c r="A435" s="62" t="s">
        <v>1283</v>
      </c>
      <c r="B435" s="186" t="s">
        <v>593</v>
      </c>
    </row>
    <row r="436" spans="1:4" ht="21" x14ac:dyDescent="0.35">
      <c r="A436" s="62" t="s">
        <v>1284</v>
      </c>
      <c r="B436" s="186" t="s">
        <v>594</v>
      </c>
    </row>
    <row r="437" spans="1:4" ht="21" x14ac:dyDescent="0.35">
      <c r="A437" s="62" t="s">
        <v>1891</v>
      </c>
      <c r="B437" s="186" t="s">
        <v>595</v>
      </c>
    </row>
    <row r="438" spans="1:4" ht="21" x14ac:dyDescent="0.35">
      <c r="A438" s="62" t="s">
        <v>1285</v>
      </c>
      <c r="B438" s="186" t="s">
        <v>596</v>
      </c>
    </row>
    <row r="439" spans="1:4" ht="21" x14ac:dyDescent="0.35">
      <c r="A439" s="62" t="s">
        <v>1899</v>
      </c>
      <c r="B439" s="186" t="s">
        <v>597</v>
      </c>
    </row>
    <row r="440" spans="1:4" ht="21" x14ac:dyDescent="0.35">
      <c r="A440" s="62" t="s">
        <v>1286</v>
      </c>
      <c r="B440" s="186" t="s">
        <v>598</v>
      </c>
    </row>
    <row r="441" spans="1:4" ht="21" x14ac:dyDescent="0.35">
      <c r="A441" s="62" t="s">
        <v>1287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1860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1862</v>
      </c>
      <c r="B445" s="186" t="s">
        <v>828</v>
      </c>
    </row>
    <row r="446" spans="1:4" ht="21" x14ac:dyDescent="0.35">
      <c r="A446" s="62" t="s">
        <v>1288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1863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1289</v>
      </c>
      <c r="B450" s="186" t="s">
        <v>710</v>
      </c>
    </row>
    <row r="451" spans="1:4" ht="21" x14ac:dyDescent="0.35">
      <c r="A451" s="62" t="s">
        <v>1290</v>
      </c>
      <c r="B451" s="186" t="s">
        <v>182</v>
      </c>
    </row>
    <row r="452" spans="1:4" s="189" customFormat="1" ht="21" x14ac:dyDescent="0.35">
      <c r="A452" s="62" t="s">
        <v>1189</v>
      </c>
      <c r="B452" s="186" t="s">
        <v>161</v>
      </c>
      <c r="D452" s="193"/>
    </row>
    <row r="453" spans="1:4" s="189" customFormat="1" ht="21" x14ac:dyDescent="0.35">
      <c r="A453" s="62" t="s">
        <v>1251</v>
      </c>
      <c r="B453" s="186" t="s">
        <v>149</v>
      </c>
      <c r="D453" s="193"/>
    </row>
    <row r="454" spans="1:4" ht="21" x14ac:dyDescent="0.35">
      <c r="A454" s="62" t="s">
        <v>1291</v>
      </c>
      <c r="B454" s="186" t="s">
        <v>707</v>
      </c>
    </row>
    <row r="455" spans="1:4" ht="21" x14ac:dyDescent="0.35">
      <c r="A455" s="62" t="s">
        <v>1292</v>
      </c>
      <c r="B455" s="186" t="s">
        <v>703</v>
      </c>
    </row>
    <row r="456" spans="1:4" ht="21" x14ac:dyDescent="0.35">
      <c r="A456" s="62" t="s">
        <v>1293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1294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1295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1296</v>
      </c>
      <c r="B462" s="186" t="s">
        <v>832</v>
      </c>
    </row>
    <row r="463" spans="1:4" ht="21" x14ac:dyDescent="0.35">
      <c r="A463" s="62" t="s">
        <v>1297</v>
      </c>
      <c r="B463" s="186" t="s">
        <v>176</v>
      </c>
    </row>
    <row r="464" spans="1:4" ht="21" x14ac:dyDescent="0.35">
      <c r="A464" s="62" t="s">
        <v>1298</v>
      </c>
      <c r="B464" s="186" t="s">
        <v>175</v>
      </c>
    </row>
    <row r="465" spans="1:4" ht="21" x14ac:dyDescent="0.35">
      <c r="A465" s="62" t="s">
        <v>1299</v>
      </c>
      <c r="B465" s="186" t="s">
        <v>177</v>
      </c>
    </row>
    <row r="466" spans="1:4" ht="21" x14ac:dyDescent="0.35">
      <c r="A466" s="62" t="s">
        <v>1300</v>
      </c>
      <c r="B466" s="186" t="s">
        <v>178</v>
      </c>
    </row>
    <row r="467" spans="1:4" ht="21" x14ac:dyDescent="0.35">
      <c r="A467" s="62" t="s">
        <v>1301</v>
      </c>
      <c r="B467" s="186" t="s">
        <v>179</v>
      </c>
    </row>
    <row r="468" spans="1:4" ht="21" x14ac:dyDescent="0.35">
      <c r="A468" s="62" t="s">
        <v>1302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1303</v>
      </c>
      <c r="B470" s="186" t="s">
        <v>834</v>
      </c>
      <c r="D470" s="188"/>
    </row>
    <row r="471" spans="1:4" ht="21" x14ac:dyDescent="0.35">
      <c r="A471" s="62" t="s">
        <v>1304</v>
      </c>
      <c r="B471" s="186" t="s">
        <v>974</v>
      </c>
      <c r="D471" s="188"/>
    </row>
    <row r="472" spans="1:4" ht="21" x14ac:dyDescent="0.35">
      <c r="A472" s="62" t="s">
        <v>1305</v>
      </c>
      <c r="B472" s="186" t="s">
        <v>977</v>
      </c>
      <c r="D472" s="188"/>
    </row>
    <row r="473" spans="1:4" ht="21" x14ac:dyDescent="0.35">
      <c r="A473" s="62" t="s">
        <v>1306</v>
      </c>
      <c r="B473" s="186" t="s">
        <v>978</v>
      </c>
      <c r="D473" s="188"/>
    </row>
    <row r="474" spans="1:4" ht="21" x14ac:dyDescent="0.35">
      <c r="A474" s="62" t="s">
        <v>1307</v>
      </c>
      <c r="B474" s="186" t="s">
        <v>975</v>
      </c>
      <c r="D474" s="188"/>
    </row>
    <row r="475" spans="1:4" ht="21" x14ac:dyDescent="0.35">
      <c r="A475" s="62" t="s">
        <v>1308</v>
      </c>
      <c r="B475" s="186" t="s">
        <v>979</v>
      </c>
      <c r="D475" s="188"/>
    </row>
    <row r="476" spans="1:4" ht="21" x14ac:dyDescent="0.35">
      <c r="A476" s="62" t="s">
        <v>1309</v>
      </c>
      <c r="B476" s="186" t="s">
        <v>976</v>
      </c>
      <c r="D476" s="188"/>
    </row>
    <row r="477" spans="1:4" ht="21" x14ac:dyDescent="0.35">
      <c r="A477" s="62" t="s">
        <v>1310</v>
      </c>
      <c r="B477" s="186" t="s">
        <v>586</v>
      </c>
      <c r="D477" s="188"/>
    </row>
    <row r="478" spans="1:4" ht="21" x14ac:dyDescent="0.35">
      <c r="A478" s="62" t="s">
        <v>1311</v>
      </c>
      <c r="B478" s="186" t="s">
        <v>715</v>
      </c>
      <c r="D478" s="188"/>
    </row>
    <row r="479" spans="1:4" ht="21" x14ac:dyDescent="0.35">
      <c r="A479" s="62" t="s">
        <v>1312</v>
      </c>
      <c r="B479" s="186" t="s">
        <v>587</v>
      </c>
      <c r="D479" s="188"/>
    </row>
    <row r="480" spans="1:4" ht="21" x14ac:dyDescent="0.35">
      <c r="A480" s="62" t="s">
        <v>1317</v>
      </c>
      <c r="B480" s="186" t="s">
        <v>1027</v>
      </c>
      <c r="D480" s="188"/>
    </row>
    <row r="481" spans="1:4" ht="21" x14ac:dyDescent="0.35">
      <c r="A481" s="62" t="s">
        <v>1318</v>
      </c>
      <c r="B481" s="186" t="s">
        <v>1028</v>
      </c>
      <c r="D481" s="188"/>
    </row>
    <row r="482" spans="1:4" ht="21" x14ac:dyDescent="0.35">
      <c r="A482" s="62" t="s">
        <v>1319</v>
      </c>
      <c r="B482" s="186" t="s">
        <v>716</v>
      </c>
      <c r="D482" s="188"/>
    </row>
    <row r="483" spans="1:4" ht="21" x14ac:dyDescent="0.35">
      <c r="A483" s="62" t="s">
        <v>1313</v>
      </c>
      <c r="B483" s="186" t="s">
        <v>980</v>
      </c>
      <c r="D483" s="188"/>
    </row>
    <row r="484" spans="1:4" ht="21" x14ac:dyDescent="0.35">
      <c r="A484" s="62" t="s">
        <v>1314</v>
      </c>
      <c r="B484" s="186" t="s">
        <v>588</v>
      </c>
      <c r="D484" s="188"/>
    </row>
    <row r="485" spans="1:4" ht="21" x14ac:dyDescent="0.35">
      <c r="A485" s="62" t="s">
        <v>1873</v>
      </c>
      <c r="B485" s="186" t="s">
        <v>981</v>
      </c>
      <c r="D485" s="188"/>
    </row>
    <row r="486" spans="1:4" ht="21" x14ac:dyDescent="0.35">
      <c r="A486" s="62" t="s">
        <v>1315</v>
      </c>
      <c r="B486" s="186" t="s">
        <v>589</v>
      </c>
      <c r="D486" s="188"/>
    </row>
    <row r="487" spans="1:4" ht="21" x14ac:dyDescent="0.35">
      <c r="A487" s="62" t="s">
        <v>1316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1872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1294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1320</v>
      </c>
      <c r="B493" s="186" t="s">
        <v>1031</v>
      </c>
    </row>
    <row r="494" spans="1:4" ht="21" x14ac:dyDescent="0.35">
      <c r="A494" s="62" t="s">
        <v>1321</v>
      </c>
      <c r="B494" s="186" t="s">
        <v>951</v>
      </c>
    </row>
    <row r="495" spans="1:4" ht="21" x14ac:dyDescent="0.35"/>
    <row r="496" spans="1:4" ht="21" x14ac:dyDescent="0.35">
      <c r="A496" s="188" t="s">
        <v>1874</v>
      </c>
    </row>
    <row r="497" spans="1:2" ht="21" x14ac:dyDescent="0.35">
      <c r="A497" s="62" t="s">
        <v>1875</v>
      </c>
      <c r="B497" s="186" t="s">
        <v>1878</v>
      </c>
    </row>
    <row r="498" spans="1:2" s="188" customFormat="1" ht="21" x14ac:dyDescent="0.35">
      <c r="A498" s="62" t="s">
        <v>1876</v>
      </c>
      <c r="B498" s="186" t="s">
        <v>1877</v>
      </c>
    </row>
    <row r="499" spans="1:2" s="188" customFormat="1" ht="21" x14ac:dyDescent="0.35">
      <c r="A499" s="62" t="s">
        <v>1879</v>
      </c>
      <c r="B499" s="186" t="s">
        <v>1880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1322</v>
      </c>
      <c r="B502" s="186" t="s">
        <v>215</v>
      </c>
    </row>
    <row r="503" spans="1:2" s="188" customFormat="1" ht="21" x14ac:dyDescent="0.35">
      <c r="A503" s="62" t="s">
        <v>1323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1324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1325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1326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1327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1328</v>
      </c>
      <c r="B552" s="186" t="s">
        <v>199</v>
      </c>
    </row>
    <row r="553" spans="1:4" ht="21" x14ac:dyDescent="0.35">
      <c r="A553" s="62" t="s">
        <v>1329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1330</v>
      </c>
      <c r="B566" s="186" t="s">
        <v>328</v>
      </c>
    </row>
    <row r="567" spans="1:2" s="188" customFormat="1" ht="21" x14ac:dyDescent="0.35">
      <c r="A567" s="62" t="s">
        <v>1331</v>
      </c>
      <c r="B567" s="186" t="s">
        <v>330</v>
      </c>
    </row>
    <row r="568" spans="1:2" s="188" customFormat="1" ht="21" x14ac:dyDescent="0.35">
      <c r="A568" s="62" t="s">
        <v>1332</v>
      </c>
      <c r="B568" s="186" t="s">
        <v>331</v>
      </c>
    </row>
    <row r="569" spans="1:2" s="188" customFormat="1" ht="21" x14ac:dyDescent="0.35">
      <c r="A569" s="62" t="s">
        <v>1333</v>
      </c>
      <c r="B569" s="186" t="s">
        <v>329</v>
      </c>
    </row>
    <row r="570" spans="1:2" s="188" customFormat="1" ht="21" x14ac:dyDescent="0.35">
      <c r="A570" s="62" t="s">
        <v>1334</v>
      </c>
      <c r="B570" s="186" t="s">
        <v>334</v>
      </c>
    </row>
    <row r="571" spans="1:2" s="188" customFormat="1" ht="21" x14ac:dyDescent="0.35">
      <c r="A571" s="62" t="s">
        <v>1335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1336</v>
      </c>
      <c r="B580" s="186" t="s">
        <v>690</v>
      </c>
      <c r="D580" s="193"/>
    </row>
    <row r="581" spans="1:4" ht="21" x14ac:dyDescent="0.35">
      <c r="A581" s="62" t="s">
        <v>1337</v>
      </c>
      <c r="B581" s="186" t="s">
        <v>214</v>
      </c>
    </row>
    <row r="582" spans="1:4" ht="21" x14ac:dyDescent="0.35"/>
    <row r="583" spans="1:4" ht="21" x14ac:dyDescent="0.35">
      <c r="A583" s="62" t="s">
        <v>1261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1338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1339</v>
      </c>
      <c r="B590" s="186" t="s">
        <v>581</v>
      </c>
    </row>
    <row r="591" spans="1:4" ht="21" x14ac:dyDescent="0.35">
      <c r="A591" s="62" t="s">
        <v>1217</v>
      </c>
      <c r="B591" s="186" t="s">
        <v>40</v>
      </c>
    </row>
    <row r="592" spans="1:4" ht="21" x14ac:dyDescent="0.35">
      <c r="A592" s="62" t="s">
        <v>1262</v>
      </c>
      <c r="B592" s="186" t="s">
        <v>141</v>
      </c>
    </row>
    <row r="593" spans="1:4" ht="21" x14ac:dyDescent="0.35">
      <c r="A593" s="62" t="s">
        <v>1251</v>
      </c>
      <c r="B593" s="186" t="s">
        <v>149</v>
      </c>
    </row>
    <row r="594" spans="1:4" ht="21" x14ac:dyDescent="0.35">
      <c r="A594" s="62" t="s">
        <v>1340</v>
      </c>
      <c r="B594" s="186" t="s">
        <v>133</v>
      </c>
    </row>
    <row r="595" spans="1:4" ht="21" x14ac:dyDescent="0.35">
      <c r="A595" s="62" t="s">
        <v>1264</v>
      </c>
      <c r="B595" s="186" t="s">
        <v>134</v>
      </c>
    </row>
    <row r="596" spans="1:4" ht="21" x14ac:dyDescent="0.35">
      <c r="A596" s="62" t="s">
        <v>1265</v>
      </c>
      <c r="B596" s="186" t="s">
        <v>171</v>
      </c>
    </row>
    <row r="597" spans="1:4" ht="21" x14ac:dyDescent="0.35">
      <c r="A597" s="62" t="s">
        <v>1341</v>
      </c>
      <c r="B597" s="186" t="s">
        <v>135</v>
      </c>
    </row>
    <row r="598" spans="1:4" ht="21" x14ac:dyDescent="0.35">
      <c r="A598" s="62" t="s">
        <v>1342</v>
      </c>
      <c r="B598" s="186" t="s">
        <v>582</v>
      </c>
    </row>
    <row r="599" spans="1:4" ht="21" x14ac:dyDescent="0.35">
      <c r="A599" s="62" t="s">
        <v>1268</v>
      </c>
      <c r="B599" s="186" t="s">
        <v>170</v>
      </c>
    </row>
    <row r="600" spans="1:4" ht="21" x14ac:dyDescent="0.35">
      <c r="A600" s="62" t="s">
        <v>1343</v>
      </c>
      <c r="B600" s="186" t="s">
        <v>219</v>
      </c>
    </row>
    <row r="601" spans="1:4" ht="21" x14ac:dyDescent="0.35">
      <c r="A601" s="62" t="s">
        <v>1270</v>
      </c>
      <c r="B601" s="186" t="s">
        <v>147</v>
      </c>
    </row>
    <row r="602" spans="1:4" ht="21" x14ac:dyDescent="0.35">
      <c r="A602" s="62" t="s">
        <v>1217</v>
      </c>
      <c r="B602" s="186" t="s">
        <v>169</v>
      </c>
    </row>
    <row r="603" spans="1:4" s="189" customFormat="1" ht="21" x14ac:dyDescent="0.35">
      <c r="A603" s="62" t="s">
        <v>1344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1252</v>
      </c>
      <c r="B610" s="186" t="s">
        <v>201</v>
      </c>
      <c r="D610" s="193"/>
    </row>
    <row r="611" spans="1:4" s="189" customFormat="1" ht="21" x14ac:dyDescent="0.35">
      <c r="A611" s="62" t="s">
        <v>1241</v>
      </c>
      <c r="B611" s="186" t="s">
        <v>43</v>
      </c>
      <c r="D611" s="193"/>
    </row>
    <row r="612" spans="1:4" s="189" customFormat="1" ht="21" x14ac:dyDescent="0.35">
      <c r="A612" s="62" t="s">
        <v>1242</v>
      </c>
      <c r="B612" s="186" t="s">
        <v>157</v>
      </c>
      <c r="D612" s="193"/>
    </row>
    <row r="613" spans="1:4" s="189" customFormat="1" ht="21" x14ac:dyDescent="0.35">
      <c r="A613" s="62" t="s">
        <v>1243</v>
      </c>
      <c r="B613" s="186" t="s">
        <v>681</v>
      </c>
      <c r="D613" s="193"/>
    </row>
    <row r="614" spans="1:4" s="189" customFormat="1" ht="21" x14ac:dyDescent="0.35">
      <c r="A614" s="62" t="s">
        <v>1244</v>
      </c>
      <c r="B614" s="186" t="s">
        <v>682</v>
      </c>
      <c r="D614" s="193"/>
    </row>
    <row r="615" spans="1:4" s="189" customFormat="1" ht="21" x14ac:dyDescent="0.35">
      <c r="A615" s="62" t="s">
        <v>1245</v>
      </c>
      <c r="B615" s="186" t="s">
        <v>683</v>
      </c>
      <c r="D615" s="193"/>
    </row>
    <row r="616" spans="1:4" s="189" customFormat="1" ht="21" x14ac:dyDescent="0.35">
      <c r="A616" s="62" t="s">
        <v>1246</v>
      </c>
      <c r="B616" s="186" t="s">
        <v>684</v>
      </c>
      <c r="D616" s="193"/>
    </row>
    <row r="617" spans="1:4" s="189" customFormat="1" ht="21" x14ac:dyDescent="0.35">
      <c r="A617" s="62" t="s">
        <v>1345</v>
      </c>
      <c r="B617" s="186" t="s">
        <v>709</v>
      </c>
      <c r="D617" s="193"/>
    </row>
    <row r="618" spans="1:4" s="189" customFormat="1" ht="21" x14ac:dyDescent="0.35">
      <c r="A618" s="62" t="s">
        <v>1217</v>
      </c>
      <c r="B618" s="186" t="s">
        <v>40</v>
      </c>
      <c r="D618" s="193"/>
    </row>
    <row r="619" spans="1:4" s="189" customFormat="1" ht="21" x14ac:dyDescent="0.35">
      <c r="A619" s="62" t="s">
        <v>1249</v>
      </c>
      <c r="B619" s="186" t="s">
        <v>685</v>
      </c>
      <c r="D619" s="193"/>
    </row>
    <row r="620" spans="1:4" s="189" customFormat="1" ht="21" x14ac:dyDescent="0.35">
      <c r="A620" s="62" t="s">
        <v>1248</v>
      </c>
      <c r="B620" s="186" t="s">
        <v>699</v>
      </c>
      <c r="D620" s="193"/>
    </row>
    <row r="621" spans="1:4" s="189" customFormat="1" ht="21" x14ac:dyDescent="0.35">
      <c r="A621" s="62" t="s">
        <v>1189</v>
      </c>
      <c r="B621" s="186" t="s">
        <v>161</v>
      </c>
      <c r="D621" s="193"/>
    </row>
    <row r="622" spans="1:4" s="189" customFormat="1" ht="21" x14ac:dyDescent="0.35">
      <c r="A622" s="62" t="s">
        <v>1253</v>
      </c>
      <c r="B622" s="186" t="s">
        <v>162</v>
      </c>
      <c r="D622" s="193"/>
    </row>
    <row r="623" spans="1:4" s="189" customFormat="1" ht="21" x14ac:dyDescent="0.35">
      <c r="A623" s="62" t="s">
        <v>1241</v>
      </c>
      <c r="B623" s="186" t="s">
        <v>43</v>
      </c>
      <c r="D623" s="193"/>
    </row>
    <row r="624" spans="1:4" s="189" customFormat="1" ht="21" x14ac:dyDescent="0.35">
      <c r="A624" s="62" t="s">
        <v>1242</v>
      </c>
      <c r="B624" s="186" t="s">
        <v>157</v>
      </c>
      <c r="D624" s="193"/>
    </row>
    <row r="625" spans="1:4" s="189" customFormat="1" ht="21" x14ac:dyDescent="0.35">
      <c r="A625" s="62" t="s">
        <v>1250</v>
      </c>
      <c r="B625" s="186" t="s">
        <v>158</v>
      </c>
      <c r="D625" s="193"/>
    </row>
    <row r="626" spans="1:4" s="189" customFormat="1" ht="21" x14ac:dyDescent="0.35">
      <c r="A626" s="62" t="s">
        <v>1280</v>
      </c>
      <c r="B626" s="186" t="s">
        <v>159</v>
      </c>
      <c r="D626" s="193"/>
    </row>
    <row r="627" spans="1:4" s="189" customFormat="1" ht="21" x14ac:dyDescent="0.35">
      <c r="A627" s="62" t="s">
        <v>1346</v>
      </c>
      <c r="B627" s="186" t="s">
        <v>167</v>
      </c>
      <c r="D627" s="193"/>
    </row>
    <row r="628" spans="1:4" s="189" customFormat="1" ht="21" x14ac:dyDescent="0.35">
      <c r="A628" s="62" t="s">
        <v>1347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1348</v>
      </c>
      <c r="B632" s="186" t="s">
        <v>120</v>
      </c>
      <c r="D632" s="193"/>
    </row>
    <row r="633" spans="1:4" s="189" customFormat="1" ht="21" x14ac:dyDescent="0.35">
      <c r="A633" s="62" t="s">
        <v>1349</v>
      </c>
      <c r="B633" s="186" t="s">
        <v>151</v>
      </c>
      <c r="D633" s="193"/>
    </row>
    <row r="634" spans="1:4" s="189" customFormat="1" ht="21" x14ac:dyDescent="0.35">
      <c r="A634" s="62" t="s">
        <v>1350</v>
      </c>
      <c r="B634" s="186" t="s">
        <v>117</v>
      </c>
      <c r="D634" s="193"/>
    </row>
    <row r="635" spans="1:4" s="189" customFormat="1" ht="21" x14ac:dyDescent="0.35">
      <c r="A635" s="62" t="s">
        <v>1351</v>
      </c>
      <c r="B635" s="186" t="s">
        <v>152</v>
      </c>
      <c r="D635" s="193"/>
    </row>
    <row r="636" spans="1:4" s="189" customFormat="1" ht="21" x14ac:dyDescent="0.35">
      <c r="A636" s="62" t="s">
        <v>1352</v>
      </c>
      <c r="B636" s="186" t="s">
        <v>153</v>
      </c>
      <c r="D636" s="193"/>
    </row>
    <row r="637" spans="1:4" s="189" customFormat="1" ht="21" x14ac:dyDescent="0.35">
      <c r="A637" s="62" t="s">
        <v>1353</v>
      </c>
      <c r="B637" s="186" t="s">
        <v>119</v>
      </c>
      <c r="D637" s="193"/>
    </row>
    <row r="638" spans="1:4" s="189" customFormat="1" ht="21" x14ac:dyDescent="0.35">
      <c r="A638" s="62" t="s">
        <v>1354</v>
      </c>
      <c r="B638" s="186" t="s">
        <v>139</v>
      </c>
      <c r="D638" s="193"/>
    </row>
    <row r="639" spans="1:4" s="189" customFormat="1" ht="21" x14ac:dyDescent="0.35">
      <c r="A639" s="62" t="s">
        <v>1355</v>
      </c>
      <c r="B639" s="186" t="s">
        <v>164</v>
      </c>
      <c r="D639" s="193"/>
    </row>
    <row r="640" spans="1:4" s="189" customFormat="1" ht="21" x14ac:dyDescent="0.35">
      <c r="A640" s="62" t="s">
        <v>1192</v>
      </c>
      <c r="B640" s="186" t="s">
        <v>154</v>
      </c>
      <c r="D640" s="193"/>
    </row>
    <row r="641" spans="1:4" s="189" customFormat="1" ht="21" x14ac:dyDescent="0.35">
      <c r="A641" s="62" t="s">
        <v>1258</v>
      </c>
      <c r="B641" s="186" t="s">
        <v>155</v>
      </c>
      <c r="D641" s="193"/>
    </row>
    <row r="642" spans="1:4" s="189" customFormat="1" ht="21" x14ac:dyDescent="0.35">
      <c r="A642" s="62" t="s">
        <v>1201</v>
      </c>
      <c r="B642" s="186" t="s">
        <v>686</v>
      </c>
      <c r="D642" s="193"/>
    </row>
    <row r="643" spans="1:4" s="189" customFormat="1" ht="21" x14ac:dyDescent="0.35">
      <c r="A643" s="216" t="s">
        <v>1259</v>
      </c>
      <c r="B643" s="186" t="s">
        <v>156</v>
      </c>
      <c r="D643" s="193"/>
    </row>
    <row r="644" spans="1:4" s="189" customFormat="1" ht="21" x14ac:dyDescent="0.35">
      <c r="A644" s="62" t="s">
        <v>1256</v>
      </c>
      <c r="B644" s="186" t="s">
        <v>342</v>
      </c>
      <c r="D644" s="193"/>
    </row>
    <row r="645" spans="1:4" s="189" customFormat="1" ht="21" x14ac:dyDescent="0.35">
      <c r="A645" s="62" t="s">
        <v>1356</v>
      </c>
      <c r="B645" s="186" t="s">
        <v>168</v>
      </c>
      <c r="D645" s="193"/>
    </row>
    <row r="646" spans="1:4" s="189" customFormat="1" ht="21" x14ac:dyDescent="0.35">
      <c r="A646" s="62" t="s">
        <v>1357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1358</v>
      </c>
      <c r="B664" s="186" t="s">
        <v>691</v>
      </c>
      <c r="D664" s="193"/>
    </row>
    <row r="665" spans="1:4" ht="21" x14ac:dyDescent="0.35">
      <c r="A665" s="62" t="s">
        <v>1359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1360</v>
      </c>
      <c r="B669" s="186" t="s">
        <v>180</v>
      </c>
    </row>
    <row r="670" spans="1:4" ht="21" x14ac:dyDescent="0.35">
      <c r="A670" s="62" t="s">
        <v>1361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1085</v>
      </c>
      <c r="B690" s="186" t="s">
        <v>46</v>
      </c>
      <c r="D690" s="188"/>
    </row>
    <row r="691" spans="1:4" ht="21" x14ac:dyDescent="0.35">
      <c r="A691" s="62" t="s">
        <v>1086</v>
      </c>
      <c r="B691" s="186" t="s">
        <v>47</v>
      </c>
      <c r="D691" s="188"/>
    </row>
    <row r="692" spans="1:4" ht="21" x14ac:dyDescent="0.35">
      <c r="A692" s="62" t="s">
        <v>1087</v>
      </c>
      <c r="B692" s="186" t="s">
        <v>48</v>
      </c>
      <c r="D692" s="188"/>
    </row>
    <row r="693" spans="1:4" ht="21" x14ac:dyDescent="0.35">
      <c r="A693" s="62" t="s">
        <v>1088</v>
      </c>
      <c r="B693" s="186" t="s">
        <v>49</v>
      </c>
      <c r="D693" s="188"/>
    </row>
    <row r="694" spans="1:4" ht="21" x14ac:dyDescent="0.35">
      <c r="A694" s="62" t="s">
        <v>1089</v>
      </c>
      <c r="B694" s="186" t="s">
        <v>50</v>
      </c>
      <c r="D694" s="188"/>
    </row>
    <row r="695" spans="1:4" ht="21" x14ac:dyDescent="0.35">
      <c r="A695" s="62" t="s">
        <v>1090</v>
      </c>
      <c r="B695" s="186" t="s">
        <v>51</v>
      </c>
      <c r="D695" s="188"/>
    </row>
    <row r="696" spans="1:4" ht="21" x14ac:dyDescent="0.35">
      <c r="A696" s="62" t="s">
        <v>1091</v>
      </c>
      <c r="B696" s="186" t="s">
        <v>52</v>
      </c>
      <c r="D696" s="188"/>
    </row>
    <row r="697" spans="1:4" ht="21" x14ac:dyDescent="0.35">
      <c r="A697" s="62" t="s">
        <v>1092</v>
      </c>
      <c r="B697" s="186" t="s">
        <v>53</v>
      </c>
      <c r="D697" s="188"/>
    </row>
    <row r="698" spans="1:4" ht="21" x14ac:dyDescent="0.35">
      <c r="A698" s="62" t="s">
        <v>1093</v>
      </c>
      <c r="B698" s="186" t="s">
        <v>54</v>
      </c>
      <c r="D698" s="188"/>
    </row>
    <row r="699" spans="1:4" ht="21" x14ac:dyDescent="0.35">
      <c r="A699" s="62" t="s">
        <v>1094</v>
      </c>
      <c r="B699" s="186" t="s">
        <v>55</v>
      </c>
      <c r="D699" s="188"/>
    </row>
    <row r="700" spans="1:4" ht="21" x14ac:dyDescent="0.35">
      <c r="A700" s="62" t="s">
        <v>1095</v>
      </c>
      <c r="B700" s="186" t="s">
        <v>56</v>
      </c>
      <c r="D700" s="188"/>
    </row>
    <row r="701" spans="1:4" ht="21" x14ac:dyDescent="0.35">
      <c r="A701" s="62" t="s">
        <v>1096</v>
      </c>
      <c r="B701" s="186" t="s">
        <v>57</v>
      </c>
      <c r="D701" s="188"/>
    </row>
    <row r="702" spans="1:4" ht="21" x14ac:dyDescent="0.35">
      <c r="A702" s="62" t="s">
        <v>1097</v>
      </c>
      <c r="B702" s="186" t="s">
        <v>58</v>
      </c>
      <c r="D702" s="188"/>
    </row>
    <row r="703" spans="1:4" ht="21" x14ac:dyDescent="0.35">
      <c r="A703" s="62" t="s">
        <v>1098</v>
      </c>
      <c r="B703" s="186" t="s">
        <v>59</v>
      </c>
      <c r="D703" s="188"/>
    </row>
    <row r="704" spans="1:4" ht="21" x14ac:dyDescent="0.35">
      <c r="A704" s="62" t="s">
        <v>1099</v>
      </c>
      <c r="B704" s="186" t="s">
        <v>60</v>
      </c>
      <c r="D704" s="188"/>
    </row>
    <row r="705" spans="1:4" ht="21" x14ac:dyDescent="0.35">
      <c r="A705" s="62" t="s">
        <v>1100</v>
      </c>
      <c r="B705" s="186" t="s">
        <v>77</v>
      </c>
      <c r="D705" s="188"/>
    </row>
    <row r="706" spans="1:4" ht="21" x14ac:dyDescent="0.35">
      <c r="A706" s="62" t="s">
        <v>1362</v>
      </c>
      <c r="B706" s="186" t="s">
        <v>197</v>
      </c>
      <c r="D706" s="188"/>
    </row>
    <row r="707" spans="1:4" ht="21" x14ac:dyDescent="0.35">
      <c r="A707" s="62" t="s">
        <v>1363</v>
      </c>
      <c r="B707" s="186" t="s">
        <v>198</v>
      </c>
      <c r="D707" s="188"/>
    </row>
    <row r="708" spans="1:4" ht="21" x14ac:dyDescent="0.35">
      <c r="A708" s="62" t="s">
        <v>1364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1365</v>
      </c>
      <c r="B725" s="186" t="s">
        <v>322</v>
      </c>
      <c r="D725" s="188"/>
    </row>
    <row r="726" spans="1:4" ht="21" x14ac:dyDescent="0.35">
      <c r="A726" s="62" t="s">
        <v>1366</v>
      </c>
      <c r="B726" s="186" t="s">
        <v>323</v>
      </c>
      <c r="D726" s="188"/>
    </row>
    <row r="727" spans="1:4" ht="21" x14ac:dyDescent="0.35">
      <c r="A727" s="62" t="s">
        <v>1367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1368</v>
      </c>
      <c r="B732" s="186" t="s">
        <v>325</v>
      </c>
      <c r="D732" s="188"/>
    </row>
    <row r="733" spans="1:4" ht="21" x14ac:dyDescent="0.35">
      <c r="A733" s="62" t="s">
        <v>1369</v>
      </c>
      <c r="B733" s="186" t="s">
        <v>326</v>
      </c>
      <c r="D733" s="188"/>
    </row>
    <row r="734" spans="1:4" ht="21" x14ac:dyDescent="0.35">
      <c r="A734" s="62" t="s">
        <v>1370</v>
      </c>
      <c r="B734" s="186" t="s">
        <v>327</v>
      </c>
      <c r="D734" s="188"/>
    </row>
    <row r="735" spans="1:4" ht="21" x14ac:dyDescent="0.35">
      <c r="A735" s="62" t="s">
        <v>1371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1372</v>
      </c>
      <c r="B740" s="186" t="s">
        <v>126</v>
      </c>
      <c r="D740" s="188"/>
    </row>
    <row r="741" spans="1:4" ht="21" x14ac:dyDescent="0.35">
      <c r="A741" s="62" t="s">
        <v>1373</v>
      </c>
      <c r="B741" s="186" t="s">
        <v>753</v>
      </c>
      <c r="D741" s="188"/>
    </row>
    <row r="742" spans="1:4" ht="21" x14ac:dyDescent="0.35">
      <c r="A742" s="62" t="s">
        <v>1374</v>
      </c>
      <c r="B742" s="186" t="s">
        <v>750</v>
      </c>
      <c r="D742" s="188"/>
    </row>
    <row r="743" spans="1:4" ht="21" x14ac:dyDescent="0.35">
      <c r="A743" s="62" t="s">
        <v>1375</v>
      </c>
      <c r="B743" s="186" t="s">
        <v>751</v>
      </c>
      <c r="D743" s="188"/>
    </row>
    <row r="744" spans="1:4" ht="21" x14ac:dyDescent="0.35">
      <c r="A744" s="62" t="s">
        <v>1376</v>
      </c>
      <c r="B744" s="186" t="s">
        <v>752</v>
      </c>
      <c r="D744" s="188"/>
    </row>
    <row r="745" spans="1:4" ht="21" x14ac:dyDescent="0.35">
      <c r="A745" s="62" t="s">
        <v>1377</v>
      </c>
      <c r="B745" s="186" t="s">
        <v>200</v>
      </c>
      <c r="D745" s="188"/>
    </row>
    <row r="746" spans="1:4" ht="21" x14ac:dyDescent="0.35">
      <c r="A746" s="62" t="s">
        <v>1388</v>
      </c>
      <c r="B746" s="186" t="s">
        <v>1023</v>
      </c>
      <c r="D746" s="188"/>
    </row>
    <row r="747" spans="1:4" ht="21" x14ac:dyDescent="0.35">
      <c r="A747" s="62" t="s">
        <v>1389</v>
      </c>
      <c r="B747" s="186" t="s">
        <v>1021</v>
      </c>
      <c r="D747" s="188"/>
    </row>
    <row r="748" spans="1:4" ht="21" x14ac:dyDescent="0.35">
      <c r="A748" s="62" t="s">
        <v>1390</v>
      </c>
      <c r="B748" s="186" t="s">
        <v>1024</v>
      </c>
      <c r="D748" s="188"/>
    </row>
    <row r="749" spans="1:4" ht="21" x14ac:dyDescent="0.35">
      <c r="A749" s="62" t="s">
        <v>1391</v>
      </c>
      <c r="B749" s="186" t="s">
        <v>1021</v>
      </c>
      <c r="D749" s="188"/>
    </row>
    <row r="750" spans="1:4" ht="21" x14ac:dyDescent="0.35">
      <c r="A750" s="62" t="s">
        <v>1392</v>
      </c>
      <c r="B750" s="186" t="s">
        <v>1025</v>
      </c>
      <c r="D750" s="188"/>
    </row>
    <row r="751" spans="1:4" ht="21" x14ac:dyDescent="0.35">
      <c r="A751" s="62" t="s">
        <v>1714</v>
      </c>
      <c r="B751" s="186" t="s">
        <v>1022</v>
      </c>
      <c r="D751" s="188"/>
    </row>
    <row r="752" spans="1:4" ht="21" x14ac:dyDescent="0.35">
      <c r="A752" s="62" t="s">
        <v>1393</v>
      </c>
      <c r="B752" s="186" t="s">
        <v>1026</v>
      </c>
      <c r="D752" s="188"/>
    </row>
    <row r="753" spans="1:4" ht="21" x14ac:dyDescent="0.35">
      <c r="A753" s="62" t="s">
        <v>1394</v>
      </c>
      <c r="B753" s="186" t="s">
        <v>1030</v>
      </c>
      <c r="D753" s="188"/>
    </row>
    <row r="754" spans="1:4" ht="21" x14ac:dyDescent="0.35">
      <c r="A754" s="62" t="s">
        <v>1378</v>
      </c>
      <c r="B754" s="186" t="s">
        <v>459</v>
      </c>
      <c r="D754" s="188"/>
    </row>
    <row r="755" spans="1:4" ht="21" x14ac:dyDescent="0.35">
      <c r="A755" s="62" t="s">
        <v>1379</v>
      </c>
      <c r="B755" s="186" t="s">
        <v>461</v>
      </c>
      <c r="D755" s="188"/>
    </row>
    <row r="756" spans="1:4" ht="21" x14ac:dyDescent="0.35">
      <c r="A756" s="62" t="s">
        <v>1380</v>
      </c>
      <c r="B756" s="186" t="s">
        <v>460</v>
      </c>
      <c r="D756" s="188"/>
    </row>
    <row r="757" spans="1:4" ht="21" x14ac:dyDescent="0.35">
      <c r="A757" s="62" t="s">
        <v>1381</v>
      </c>
      <c r="B757" s="186" t="s">
        <v>462</v>
      </c>
      <c r="D757" s="188"/>
    </row>
    <row r="758" spans="1:4" ht="21" x14ac:dyDescent="0.35">
      <c r="A758" s="62" t="s">
        <v>1382</v>
      </c>
      <c r="B758" s="186" t="s">
        <v>463</v>
      </c>
      <c r="D758" s="188"/>
    </row>
    <row r="759" spans="1:4" ht="21" x14ac:dyDescent="0.35">
      <c r="A759" s="62" t="s">
        <v>1383</v>
      </c>
      <c r="B759" s="186" t="s">
        <v>464</v>
      </c>
      <c r="D759" s="188"/>
    </row>
    <row r="760" spans="1:4" ht="21" x14ac:dyDescent="0.35">
      <c r="A760" s="62" t="s">
        <v>1384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1385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1386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1387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1200</v>
      </c>
      <c r="B778" s="186" t="s">
        <v>466</v>
      </c>
      <c r="D778" s="188"/>
    </row>
    <row r="779" spans="1:4" ht="21" x14ac:dyDescent="0.35">
      <c r="A779" s="62" t="s">
        <v>1201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1395</v>
      </c>
      <c r="B781" s="186" t="s">
        <v>468</v>
      </c>
      <c r="D781" s="188"/>
    </row>
    <row r="782" spans="1:4" ht="21" x14ac:dyDescent="0.35">
      <c r="A782" s="62" t="s">
        <v>1396</v>
      </c>
      <c r="B782" s="186" t="s">
        <v>469</v>
      </c>
      <c r="D782" s="188"/>
    </row>
    <row r="783" spans="1:4" ht="21" x14ac:dyDescent="0.35">
      <c r="A783" s="62" t="s">
        <v>1397</v>
      </c>
      <c r="B783" s="186" t="s">
        <v>470</v>
      </c>
      <c r="D783" s="188"/>
    </row>
    <row r="784" spans="1:4" ht="21" x14ac:dyDescent="0.35">
      <c r="A784" s="62" t="s">
        <v>1398</v>
      </c>
      <c r="B784" s="186" t="s">
        <v>471</v>
      </c>
      <c r="D784" s="188"/>
    </row>
    <row r="785" spans="1:4" ht="21" x14ac:dyDescent="0.35">
      <c r="A785" s="62" t="s">
        <v>1399</v>
      </c>
      <c r="B785" s="186" t="s">
        <v>472</v>
      </c>
      <c r="D785" s="188"/>
    </row>
    <row r="786" spans="1:4" ht="21" x14ac:dyDescent="0.35">
      <c r="A786" s="62" t="s">
        <v>1400</v>
      </c>
      <c r="B786" s="186" t="s">
        <v>473</v>
      </c>
      <c r="D786" s="188"/>
    </row>
    <row r="787" spans="1:4" ht="21" x14ac:dyDescent="0.35">
      <c r="A787" s="62" t="s">
        <v>1401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1288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1402</v>
      </c>
      <c r="B793" s="186" t="s">
        <v>98</v>
      </c>
      <c r="D793" s="188"/>
    </row>
    <row r="794" spans="1:4" ht="21" x14ac:dyDescent="0.35">
      <c r="A794" s="62" t="s">
        <v>1403</v>
      </c>
      <c r="B794" s="186" t="s">
        <v>99</v>
      </c>
      <c r="D794" s="188"/>
    </row>
    <row r="795" spans="1:4" ht="21" x14ac:dyDescent="0.35">
      <c r="A795" s="62" t="s">
        <v>1348</v>
      </c>
      <c r="B795" s="186" t="s">
        <v>120</v>
      </c>
      <c r="D795" s="188"/>
    </row>
    <row r="796" spans="1:4" ht="21" x14ac:dyDescent="0.35">
      <c r="A796" s="62" t="s">
        <v>1404</v>
      </c>
      <c r="B796" s="186" t="s">
        <v>121</v>
      </c>
      <c r="D796" s="188"/>
    </row>
    <row r="797" spans="1:4" ht="21" x14ac:dyDescent="0.35">
      <c r="A797" s="62" t="s">
        <v>1405</v>
      </c>
      <c r="B797" s="186" t="s">
        <v>116</v>
      </c>
      <c r="D797" s="188"/>
    </row>
    <row r="798" spans="1:4" ht="21" x14ac:dyDescent="0.35">
      <c r="A798" s="62" t="s">
        <v>1350</v>
      </c>
      <c r="B798" s="186" t="s">
        <v>117</v>
      </c>
      <c r="D798" s="188"/>
    </row>
    <row r="799" spans="1:4" ht="21" x14ac:dyDescent="0.35">
      <c r="A799" s="62" t="s">
        <v>1351</v>
      </c>
      <c r="B799" s="186" t="s">
        <v>118</v>
      </c>
      <c r="D799" s="188"/>
    </row>
    <row r="800" spans="1:4" ht="21" x14ac:dyDescent="0.35">
      <c r="A800" s="62" t="s">
        <v>1406</v>
      </c>
      <c r="B800" s="186" t="s">
        <v>173</v>
      </c>
      <c r="D800" s="188"/>
    </row>
    <row r="801" spans="1:4" ht="21" x14ac:dyDescent="0.35">
      <c r="A801" s="62" t="s">
        <v>1407</v>
      </c>
      <c r="B801" s="186" t="s">
        <v>119</v>
      </c>
      <c r="D801" s="188"/>
    </row>
    <row r="802" spans="1:4" ht="21" x14ac:dyDescent="0.35">
      <c r="A802" s="62" t="s">
        <v>1408</v>
      </c>
      <c r="B802" s="186" t="s">
        <v>101</v>
      </c>
      <c r="D802" s="188"/>
    </row>
    <row r="803" spans="1:4" ht="21" x14ac:dyDescent="0.35">
      <c r="A803" s="62" t="s">
        <v>1409</v>
      </c>
      <c r="B803" s="186" t="s">
        <v>112</v>
      </c>
      <c r="D803" s="188"/>
    </row>
    <row r="804" spans="1:4" ht="21" x14ac:dyDescent="0.35">
      <c r="A804" s="62" t="s">
        <v>1410</v>
      </c>
      <c r="B804" s="186" t="s">
        <v>113</v>
      </c>
      <c r="D804" s="188"/>
    </row>
    <row r="805" spans="1:4" ht="21" x14ac:dyDescent="0.35">
      <c r="A805" s="62" t="s">
        <v>1411</v>
      </c>
      <c r="B805" s="186" t="s">
        <v>114</v>
      </c>
      <c r="D805" s="188"/>
    </row>
    <row r="806" spans="1:4" ht="21" x14ac:dyDescent="0.35">
      <c r="A806" s="62" t="s">
        <v>1412</v>
      </c>
      <c r="B806" s="186" t="s">
        <v>35</v>
      </c>
      <c r="D806" s="188"/>
    </row>
    <row r="807" spans="1:4" ht="21" x14ac:dyDescent="0.35">
      <c r="A807" s="62" t="s">
        <v>1413</v>
      </c>
      <c r="B807" s="186" t="s">
        <v>115</v>
      </c>
      <c r="D807" s="188"/>
    </row>
    <row r="808" spans="1:4" ht="21" x14ac:dyDescent="0.35">
      <c r="A808" s="62" t="s">
        <v>1414</v>
      </c>
      <c r="B808" s="186" t="s">
        <v>104</v>
      </c>
      <c r="D808" s="188"/>
    </row>
    <row r="809" spans="1:4" ht="21" x14ac:dyDescent="0.35">
      <c r="A809" s="62" t="s">
        <v>1415</v>
      </c>
      <c r="B809" s="186" t="s">
        <v>105</v>
      </c>
      <c r="D809" s="188"/>
    </row>
    <row r="810" spans="1:4" ht="21" x14ac:dyDescent="0.35">
      <c r="A810" s="62" t="s">
        <v>1416</v>
      </c>
      <c r="B810" s="186" t="s">
        <v>106</v>
      </c>
      <c r="D810" s="188"/>
    </row>
    <row r="811" spans="1:4" ht="21" x14ac:dyDescent="0.35">
      <c r="A811" s="62" t="s">
        <v>1417</v>
      </c>
      <c r="B811" s="186" t="s">
        <v>107</v>
      </c>
      <c r="D811" s="188"/>
    </row>
    <row r="812" spans="1:4" ht="21" x14ac:dyDescent="0.35">
      <c r="A812" s="62" t="s">
        <v>1418</v>
      </c>
      <c r="B812" s="186" t="s">
        <v>108</v>
      </c>
      <c r="D812" s="188"/>
    </row>
    <row r="813" spans="1:4" ht="21" x14ac:dyDescent="0.35">
      <c r="A813" s="62" t="s">
        <v>1419</v>
      </c>
      <c r="B813" s="186" t="s">
        <v>102</v>
      </c>
      <c r="D813" s="188"/>
    </row>
    <row r="814" spans="1:4" ht="21" x14ac:dyDescent="0.35">
      <c r="A814" s="62" t="s">
        <v>1420</v>
      </c>
      <c r="B814" s="186" t="s">
        <v>109</v>
      </c>
      <c r="D814" s="188"/>
    </row>
    <row r="815" spans="1:4" ht="21" x14ac:dyDescent="0.35">
      <c r="A815" s="62" t="s">
        <v>1421</v>
      </c>
      <c r="B815" s="186" t="s">
        <v>110</v>
      </c>
      <c r="D815" s="188"/>
    </row>
    <row r="816" spans="1:4" ht="21" x14ac:dyDescent="0.35">
      <c r="A816" s="62" t="s">
        <v>1422</v>
      </c>
      <c r="B816" s="186" t="s">
        <v>111</v>
      </c>
      <c r="D816" s="188"/>
    </row>
    <row r="817" spans="1:4" ht="21" x14ac:dyDescent="0.35">
      <c r="A817" s="62" t="s">
        <v>1423</v>
      </c>
      <c r="B817" s="186" t="s">
        <v>103</v>
      </c>
      <c r="D817" s="188"/>
    </row>
    <row r="818" spans="1:4" ht="21" x14ac:dyDescent="0.35">
      <c r="A818" s="62" t="s">
        <v>1424</v>
      </c>
      <c r="B818" s="186" t="s">
        <v>34</v>
      </c>
      <c r="D818" s="188"/>
    </row>
    <row r="819" spans="1:4" ht="21" x14ac:dyDescent="0.35">
      <c r="A819" s="62" t="s">
        <v>1329</v>
      </c>
      <c r="B819" s="186" t="s">
        <v>224</v>
      </c>
      <c r="D819" s="188"/>
    </row>
    <row r="820" spans="1:4" ht="21" x14ac:dyDescent="0.35">
      <c r="A820" s="62" t="s">
        <v>1425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1426</v>
      </c>
      <c r="B822" s="186" t="s">
        <v>547</v>
      </c>
      <c r="D822" s="188"/>
    </row>
    <row r="823" spans="1:4" ht="21" x14ac:dyDescent="0.35">
      <c r="A823" s="62" t="s">
        <v>1427</v>
      </c>
      <c r="B823" s="186" t="s">
        <v>488</v>
      </c>
      <c r="D823" s="188"/>
    </row>
    <row r="824" spans="1:4" ht="21" x14ac:dyDescent="0.35">
      <c r="A824" s="62" t="s">
        <v>1428</v>
      </c>
      <c r="B824" s="186" t="s">
        <v>489</v>
      </c>
      <c r="D824" s="188"/>
    </row>
    <row r="825" spans="1:4" ht="21" x14ac:dyDescent="0.35">
      <c r="A825" s="62" t="s">
        <v>1429</v>
      </c>
      <c r="B825" s="186" t="s">
        <v>540</v>
      </c>
      <c r="D825" s="188"/>
    </row>
    <row r="826" spans="1:4" ht="21" x14ac:dyDescent="0.35">
      <c r="A826" s="62" t="s">
        <v>1119</v>
      </c>
      <c r="B826" s="186" t="s">
        <v>490</v>
      </c>
      <c r="D826" s="188"/>
    </row>
    <row r="827" spans="1:4" ht="21" x14ac:dyDescent="0.35">
      <c r="A827" s="62" t="s">
        <v>1118</v>
      </c>
      <c r="B827" s="186" t="s">
        <v>491</v>
      </c>
      <c r="D827" s="188"/>
    </row>
    <row r="828" spans="1:4" ht="21" x14ac:dyDescent="0.35">
      <c r="A828" s="62" t="s">
        <v>1117</v>
      </c>
      <c r="B828" s="186" t="s">
        <v>492</v>
      </c>
      <c r="D828" s="188"/>
    </row>
    <row r="829" spans="1:4" ht="21" x14ac:dyDescent="0.35">
      <c r="A829" s="62" t="s">
        <v>1430</v>
      </c>
      <c r="B829" s="186" t="s">
        <v>493</v>
      </c>
      <c r="D829" s="188"/>
    </row>
    <row r="830" spans="1:4" ht="21" x14ac:dyDescent="0.35">
      <c r="A830" s="62" t="s">
        <v>1431</v>
      </c>
      <c r="B830" s="186" t="s">
        <v>494</v>
      </c>
      <c r="D830" s="188"/>
    </row>
    <row r="831" spans="1:4" ht="21" x14ac:dyDescent="0.35">
      <c r="A831" s="62" t="s">
        <v>1432</v>
      </c>
      <c r="B831" s="186" t="s">
        <v>495</v>
      </c>
      <c r="D831" s="188"/>
    </row>
    <row r="832" spans="1:4" ht="21" x14ac:dyDescent="0.35">
      <c r="A832" s="62" t="s">
        <v>1122</v>
      </c>
      <c r="B832" s="186" t="s">
        <v>496</v>
      </c>
      <c r="D832" s="188"/>
    </row>
    <row r="833" spans="1:4" ht="21" x14ac:dyDescent="0.35">
      <c r="A833" s="62" t="s">
        <v>1433</v>
      </c>
      <c r="B833" s="186" t="s">
        <v>497</v>
      </c>
      <c r="D833" s="188"/>
    </row>
    <row r="834" spans="1:4" ht="21" x14ac:dyDescent="0.35">
      <c r="A834" s="62" t="s">
        <v>1434</v>
      </c>
      <c r="B834" s="186" t="s">
        <v>498</v>
      </c>
      <c r="D834" s="188"/>
    </row>
    <row r="835" spans="1:4" ht="21" x14ac:dyDescent="0.35">
      <c r="A835" s="62" t="s">
        <v>1123</v>
      </c>
      <c r="B835" s="186" t="s">
        <v>499</v>
      </c>
      <c r="D835" s="188"/>
    </row>
    <row r="836" spans="1:4" ht="21" x14ac:dyDescent="0.35">
      <c r="A836" s="62" t="s">
        <v>1435</v>
      </c>
      <c r="B836" s="186" t="s">
        <v>500</v>
      </c>
      <c r="D836" s="188"/>
    </row>
    <row r="837" spans="1:4" ht="21" x14ac:dyDescent="0.35">
      <c r="A837" s="62" t="s">
        <v>1436</v>
      </c>
      <c r="B837" s="186" t="s">
        <v>504</v>
      </c>
      <c r="D837" s="188"/>
    </row>
    <row r="838" spans="1:4" ht="21" x14ac:dyDescent="0.35">
      <c r="A838" s="62" t="s">
        <v>1437</v>
      </c>
      <c r="B838" s="186" t="s">
        <v>505</v>
      </c>
      <c r="D838" s="188"/>
    </row>
    <row r="839" spans="1:4" ht="21" x14ac:dyDescent="0.35">
      <c r="A839" s="62" t="s">
        <v>1438</v>
      </c>
      <c r="B839" s="186" t="s">
        <v>501</v>
      </c>
      <c r="D839" s="188"/>
    </row>
    <row r="840" spans="1:4" ht="21" x14ac:dyDescent="0.35">
      <c r="A840" s="62" t="s">
        <v>1439</v>
      </c>
      <c r="B840" s="186" t="s">
        <v>502</v>
      </c>
      <c r="D840" s="188"/>
    </row>
    <row r="841" spans="1:4" ht="21" x14ac:dyDescent="0.35">
      <c r="A841" s="62" t="s">
        <v>1440</v>
      </c>
      <c r="B841" s="186" t="s">
        <v>503</v>
      </c>
      <c r="D841" s="188"/>
    </row>
    <row r="842" spans="1:4" ht="21" x14ac:dyDescent="0.35">
      <c r="A842" s="62" t="s">
        <v>1441</v>
      </c>
      <c r="B842" s="186" t="s">
        <v>506</v>
      </c>
      <c r="D842" s="188"/>
    </row>
    <row r="843" spans="1:4" ht="21" x14ac:dyDescent="0.35">
      <c r="A843" s="62" t="s">
        <v>1442</v>
      </c>
      <c r="B843" s="186" t="s">
        <v>507</v>
      </c>
      <c r="D843" s="188"/>
    </row>
    <row r="844" spans="1:4" ht="21" x14ac:dyDescent="0.35">
      <c r="A844" s="62" t="s">
        <v>1443</v>
      </c>
      <c r="B844" s="186" t="s">
        <v>508</v>
      </c>
      <c r="D844" s="188"/>
    </row>
    <row r="845" spans="1:4" ht="21" x14ac:dyDescent="0.35">
      <c r="A845" s="62" t="s">
        <v>1444</v>
      </c>
      <c r="B845" s="186" t="s">
        <v>509</v>
      </c>
      <c r="D845" s="188"/>
    </row>
    <row r="846" spans="1:4" ht="21" x14ac:dyDescent="0.35">
      <c r="A846" s="62" t="s">
        <v>1445</v>
      </c>
      <c r="B846" s="186" t="s">
        <v>510</v>
      </c>
      <c r="D846" s="188"/>
    </row>
    <row r="847" spans="1:4" ht="21" x14ac:dyDescent="0.35">
      <c r="A847" s="62" t="s">
        <v>1446</v>
      </c>
      <c r="B847" s="186" t="s">
        <v>511</v>
      </c>
      <c r="D847" s="188"/>
    </row>
    <row r="848" spans="1:4" ht="21" x14ac:dyDescent="0.35">
      <c r="A848" s="62" t="s">
        <v>1447</v>
      </c>
      <c r="B848" s="186" t="s">
        <v>512</v>
      </c>
      <c r="D848" s="188"/>
    </row>
    <row r="849" spans="1:4" ht="21" x14ac:dyDescent="0.35">
      <c r="A849" s="62" t="s">
        <v>1448</v>
      </c>
      <c r="B849" s="186" t="s">
        <v>474</v>
      </c>
      <c r="D849" s="188"/>
    </row>
    <row r="850" spans="1:4" ht="21" x14ac:dyDescent="0.35">
      <c r="A850" s="62" t="s">
        <v>1457</v>
      </c>
      <c r="B850" s="186" t="s">
        <v>513</v>
      </c>
      <c r="D850" s="188"/>
    </row>
    <row r="851" spans="1:4" ht="21" x14ac:dyDescent="0.35">
      <c r="A851" s="62" t="s">
        <v>1458</v>
      </c>
      <c r="B851" s="186" t="s">
        <v>514</v>
      </c>
      <c r="D851" s="188"/>
    </row>
    <row r="852" spans="1:4" ht="21" x14ac:dyDescent="0.35">
      <c r="A852" s="62" t="s">
        <v>1449</v>
      </c>
      <c r="B852" s="186" t="s">
        <v>541</v>
      </c>
      <c r="D852" s="188"/>
    </row>
    <row r="853" spans="1:4" ht="21" x14ac:dyDescent="0.35">
      <c r="A853" s="62" t="s">
        <v>1450</v>
      </c>
      <c r="B853" s="186" t="s">
        <v>475</v>
      </c>
      <c r="D853" s="188"/>
    </row>
    <row r="854" spans="1:4" ht="21" x14ac:dyDescent="0.35">
      <c r="A854" s="62" t="s">
        <v>1451</v>
      </c>
      <c r="B854" s="186" t="s">
        <v>515</v>
      </c>
      <c r="D854" s="188"/>
    </row>
    <row r="855" spans="1:4" ht="21" x14ac:dyDescent="0.35">
      <c r="A855" s="62" t="s">
        <v>1452</v>
      </c>
      <c r="B855" s="186" t="s">
        <v>516</v>
      </c>
      <c r="D855" s="188"/>
    </row>
    <row r="856" spans="1:4" ht="21" x14ac:dyDescent="0.35">
      <c r="A856" s="62" t="s">
        <v>1453</v>
      </c>
      <c r="B856" s="186" t="s">
        <v>517</v>
      </c>
      <c r="D856" s="188"/>
    </row>
    <row r="857" spans="1:4" ht="21" x14ac:dyDescent="0.35">
      <c r="A857" s="62" t="s">
        <v>1454</v>
      </c>
      <c r="B857" s="186" t="s">
        <v>518</v>
      </c>
      <c r="D857" s="188"/>
    </row>
    <row r="858" spans="1:4" ht="21" x14ac:dyDescent="0.35">
      <c r="A858" s="62" t="s">
        <v>1455</v>
      </c>
      <c r="B858" s="186" t="s">
        <v>519</v>
      </c>
      <c r="D858" s="188"/>
    </row>
    <row r="859" spans="1:4" ht="21" x14ac:dyDescent="0.35">
      <c r="A859" s="62" t="s">
        <v>1456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1459</v>
      </c>
      <c r="B861" s="186" t="s">
        <v>542</v>
      </c>
      <c r="D861" s="188"/>
    </row>
    <row r="862" spans="1:4" ht="21" x14ac:dyDescent="0.35">
      <c r="A862" s="62" t="s">
        <v>1460</v>
      </c>
      <c r="B862" s="186" t="s">
        <v>521</v>
      </c>
      <c r="D862" s="188"/>
    </row>
    <row r="863" spans="1:4" ht="21" x14ac:dyDescent="0.35">
      <c r="A863" s="62" t="s">
        <v>1461</v>
      </c>
      <c r="B863" s="186" t="s">
        <v>545</v>
      </c>
      <c r="D863" s="188"/>
    </row>
    <row r="864" spans="1:4" ht="21" x14ac:dyDescent="0.35">
      <c r="A864" s="62" t="s">
        <v>1462</v>
      </c>
      <c r="B864" s="186" t="s">
        <v>477</v>
      </c>
      <c r="D864" s="188"/>
    </row>
    <row r="865" spans="1:4" ht="21" x14ac:dyDescent="0.35">
      <c r="A865" s="62" t="s">
        <v>1463</v>
      </c>
      <c r="B865" s="186" t="s">
        <v>522</v>
      </c>
      <c r="D865" s="188"/>
    </row>
    <row r="866" spans="1:4" ht="21" x14ac:dyDescent="0.35">
      <c r="A866" s="62" t="s">
        <v>1464</v>
      </c>
      <c r="B866" s="186" t="s">
        <v>523</v>
      </c>
      <c r="D866" s="188"/>
    </row>
    <row r="867" spans="1:4" ht="21" x14ac:dyDescent="0.35">
      <c r="A867" s="62" t="s">
        <v>1465</v>
      </c>
      <c r="B867" s="186" t="s">
        <v>524</v>
      </c>
      <c r="D867" s="188"/>
    </row>
    <row r="868" spans="1:4" ht="21" x14ac:dyDescent="0.35">
      <c r="A868" s="62" t="s">
        <v>1466</v>
      </c>
      <c r="B868" s="186" t="s">
        <v>525</v>
      </c>
      <c r="D868" s="188"/>
    </row>
    <row r="869" spans="1:4" ht="21" x14ac:dyDescent="0.35">
      <c r="A869" s="62" t="s">
        <v>1467</v>
      </c>
      <c r="B869" s="186" t="s">
        <v>526</v>
      </c>
      <c r="D869" s="188"/>
    </row>
    <row r="870" spans="1:4" ht="21" x14ac:dyDescent="0.35">
      <c r="A870" s="62" t="s">
        <v>1468</v>
      </c>
      <c r="B870" s="186" t="s">
        <v>478</v>
      </c>
      <c r="D870" s="188"/>
    </row>
    <row r="871" spans="1:4" ht="21" x14ac:dyDescent="0.35">
      <c r="A871" s="62" t="s">
        <v>1469</v>
      </c>
      <c r="B871" s="186" t="s">
        <v>535</v>
      </c>
      <c r="D871" s="188"/>
    </row>
    <row r="872" spans="1:4" ht="21" x14ac:dyDescent="0.35">
      <c r="A872" s="62" t="s">
        <v>1470</v>
      </c>
      <c r="B872" s="186" t="s">
        <v>527</v>
      </c>
      <c r="D872" s="188"/>
    </row>
    <row r="873" spans="1:4" ht="21" x14ac:dyDescent="0.35">
      <c r="A873" s="62" t="s">
        <v>1471</v>
      </c>
      <c r="B873" s="186" t="s">
        <v>536</v>
      </c>
      <c r="D873" s="188"/>
    </row>
    <row r="874" spans="1:4" ht="21" x14ac:dyDescent="0.35">
      <c r="A874" s="62" t="s">
        <v>1472</v>
      </c>
      <c r="B874" s="186" t="s">
        <v>479</v>
      </c>
      <c r="D874" s="188"/>
    </row>
    <row r="875" spans="1:4" ht="21" x14ac:dyDescent="0.35">
      <c r="A875" s="62" t="s">
        <v>1473</v>
      </c>
      <c r="B875" s="186" t="s">
        <v>528</v>
      </c>
      <c r="D875" s="188"/>
    </row>
    <row r="876" spans="1:4" ht="21" x14ac:dyDescent="0.35">
      <c r="A876" s="62" t="s">
        <v>1474</v>
      </c>
      <c r="B876" s="186" t="s">
        <v>480</v>
      </c>
      <c r="D876" s="188"/>
    </row>
    <row r="877" spans="1:4" ht="21" x14ac:dyDescent="0.35">
      <c r="A877" s="62" t="s">
        <v>1475</v>
      </c>
      <c r="B877" s="186" t="s">
        <v>529</v>
      </c>
      <c r="D877" s="188"/>
    </row>
    <row r="878" spans="1:4" ht="21" x14ac:dyDescent="0.35">
      <c r="A878" s="62" t="s">
        <v>1476</v>
      </c>
      <c r="B878" s="186" t="s">
        <v>530</v>
      </c>
      <c r="D878" s="188"/>
    </row>
    <row r="879" spans="1:4" ht="21" x14ac:dyDescent="0.35">
      <c r="A879" s="62" t="s">
        <v>1477</v>
      </c>
      <c r="B879" s="186" t="s">
        <v>531</v>
      </c>
      <c r="D879" s="188"/>
    </row>
    <row r="880" spans="1:4" ht="21" x14ac:dyDescent="0.35">
      <c r="A880" s="62" t="s">
        <v>1478</v>
      </c>
      <c r="B880" s="186" t="s">
        <v>532</v>
      </c>
      <c r="D880" s="188"/>
    </row>
    <row r="881" spans="1:4" ht="21" x14ac:dyDescent="0.35">
      <c r="A881" s="62" t="s">
        <v>1479</v>
      </c>
      <c r="B881" s="186" t="s">
        <v>544</v>
      </c>
      <c r="D881" s="188"/>
    </row>
    <row r="882" spans="1:4" ht="21" x14ac:dyDescent="0.35">
      <c r="A882" s="62" t="s">
        <v>1480</v>
      </c>
      <c r="B882" s="186" t="s">
        <v>481</v>
      </c>
      <c r="D882" s="188"/>
    </row>
    <row r="883" spans="1:4" ht="21" x14ac:dyDescent="0.35">
      <c r="A883" s="62" t="s">
        <v>1481</v>
      </c>
      <c r="B883" s="186" t="s">
        <v>534</v>
      </c>
      <c r="D883" s="188"/>
    </row>
    <row r="884" spans="1:4" ht="21" x14ac:dyDescent="0.35">
      <c r="A884" s="62" t="s">
        <v>1482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1483</v>
      </c>
      <c r="B886" s="186" t="s">
        <v>482</v>
      </c>
      <c r="D886" s="188"/>
    </row>
    <row r="887" spans="1:4" ht="21" x14ac:dyDescent="0.35">
      <c r="A887" s="62" t="s">
        <v>1484</v>
      </c>
      <c r="B887" s="186" t="s">
        <v>483</v>
      </c>
      <c r="D887" s="188"/>
    </row>
    <row r="888" spans="1:4" ht="21" x14ac:dyDescent="0.35">
      <c r="A888" s="62" t="s">
        <v>1485</v>
      </c>
      <c r="B888" s="186" t="s">
        <v>484</v>
      </c>
      <c r="D888" s="188"/>
    </row>
    <row r="889" spans="1:4" ht="21" x14ac:dyDescent="0.35">
      <c r="A889" s="62" t="s">
        <v>1486</v>
      </c>
      <c r="B889" s="186" t="s">
        <v>485</v>
      </c>
      <c r="D889" s="188"/>
    </row>
    <row r="890" spans="1:4" ht="21" x14ac:dyDescent="0.35">
      <c r="A890" s="62" t="s">
        <v>1487</v>
      </c>
      <c r="B890" s="186" t="s">
        <v>486</v>
      </c>
      <c r="D890" s="188"/>
    </row>
    <row r="891" spans="1:4" ht="21" x14ac:dyDescent="0.35">
      <c r="A891" s="62" t="s">
        <v>1488</v>
      </c>
      <c r="B891" s="186" t="s">
        <v>487</v>
      </c>
      <c r="D891" s="188"/>
    </row>
    <row r="892" spans="1:4" ht="21" x14ac:dyDescent="0.35">
      <c r="A892" s="62" t="s">
        <v>1489</v>
      </c>
      <c r="B892" s="186" t="s">
        <v>537</v>
      </c>
      <c r="D892" s="188"/>
    </row>
    <row r="893" spans="1:4" ht="21" x14ac:dyDescent="0.35">
      <c r="A893" s="62" t="s">
        <v>1490</v>
      </c>
      <c r="B893" s="186" t="s">
        <v>538</v>
      </c>
      <c r="D893" s="188"/>
    </row>
    <row r="894" spans="1:4" ht="21" x14ac:dyDescent="0.35">
      <c r="A894" s="62" t="s">
        <v>1491</v>
      </c>
      <c r="B894" s="186" t="s">
        <v>539</v>
      </c>
      <c r="D894" s="188"/>
    </row>
    <row r="895" spans="1:4" ht="21" x14ac:dyDescent="0.35">
      <c r="A895" s="62" t="s">
        <v>1492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1493</v>
      </c>
      <c r="B904" s="186" t="s">
        <v>225</v>
      </c>
      <c r="D904" s="188"/>
    </row>
    <row r="905" spans="1:4" ht="21" x14ac:dyDescent="0.35">
      <c r="A905" s="62" t="s">
        <v>1494</v>
      </c>
      <c r="B905" s="186" t="s">
        <v>204</v>
      </c>
      <c r="D905" s="188"/>
    </row>
    <row r="906" spans="1:4" ht="21" x14ac:dyDescent="0.35">
      <c r="A906" s="62" t="s">
        <v>1495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1496</v>
      </c>
      <c r="B908" s="186" t="s">
        <v>208</v>
      </c>
      <c r="D908" s="188"/>
    </row>
    <row r="909" spans="1:4" ht="21" x14ac:dyDescent="0.35">
      <c r="A909" s="62" t="s">
        <v>1497</v>
      </c>
      <c r="B909" s="186" t="s">
        <v>207</v>
      </c>
      <c r="D909" s="188"/>
    </row>
    <row r="910" spans="1:4" ht="21" x14ac:dyDescent="0.35">
      <c r="A910" s="62" t="s">
        <v>1498</v>
      </c>
      <c r="B910" s="186" t="s">
        <v>343</v>
      </c>
      <c r="D910" s="188"/>
    </row>
    <row r="911" spans="1:4" ht="21" x14ac:dyDescent="0.35">
      <c r="A911" s="62" t="s">
        <v>1499</v>
      </c>
      <c r="B911" s="186" t="s">
        <v>344</v>
      </c>
      <c r="D911" s="188"/>
    </row>
    <row r="912" spans="1:4" ht="21" x14ac:dyDescent="0.35">
      <c r="A912" s="62" t="s">
        <v>1500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1501</v>
      </c>
      <c r="B914" s="186" t="s">
        <v>195</v>
      </c>
      <c r="D914" s="188"/>
    </row>
    <row r="915" spans="1:4" ht="21" x14ac:dyDescent="0.35">
      <c r="A915" s="62" t="s">
        <v>1502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1503</v>
      </c>
      <c r="B919" s="186" t="s">
        <v>184</v>
      </c>
      <c r="D919" s="188"/>
    </row>
    <row r="920" spans="1:4" ht="21" x14ac:dyDescent="0.35">
      <c r="A920" s="62" t="s">
        <v>1504</v>
      </c>
      <c r="B920" s="186" t="s">
        <v>183</v>
      </c>
      <c r="D920" s="188"/>
    </row>
    <row r="921" spans="1:4" ht="21" x14ac:dyDescent="0.35">
      <c r="A921" s="62" t="s">
        <v>1505</v>
      </c>
      <c r="B921" s="186" t="s">
        <v>186</v>
      </c>
      <c r="D921" s="188"/>
    </row>
    <row r="922" spans="1:4" ht="21" x14ac:dyDescent="0.35">
      <c r="A922" s="62" t="s">
        <v>1506</v>
      </c>
      <c r="B922" s="186" t="s">
        <v>185</v>
      </c>
      <c r="D922" s="188"/>
    </row>
    <row r="923" spans="1:4" ht="21" x14ac:dyDescent="0.35">
      <c r="A923" s="62" t="s">
        <v>1507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1508</v>
      </c>
      <c r="B925" s="186" t="s">
        <v>203</v>
      </c>
      <c r="D925" s="188"/>
    </row>
    <row r="926" spans="1:4" ht="21" x14ac:dyDescent="0.35">
      <c r="A926" s="62" t="s">
        <v>1509</v>
      </c>
      <c r="B926" s="186" t="s">
        <v>187</v>
      </c>
      <c r="D926" s="188"/>
    </row>
    <row r="927" spans="1:4" ht="21" x14ac:dyDescent="0.35">
      <c r="A927" s="62" t="s">
        <v>1510</v>
      </c>
      <c r="B927" s="186" t="s">
        <v>188</v>
      </c>
      <c r="D927" s="188"/>
    </row>
    <row r="928" spans="1:4" ht="21" x14ac:dyDescent="0.35">
      <c r="A928" s="62" t="s">
        <v>1511</v>
      </c>
      <c r="B928" s="186" t="s">
        <v>189</v>
      </c>
      <c r="D928" s="188"/>
    </row>
    <row r="929" spans="1:4" ht="21" x14ac:dyDescent="0.35">
      <c r="A929" s="62" t="s">
        <v>1512</v>
      </c>
      <c r="B929" s="186" t="s">
        <v>190</v>
      </c>
      <c r="D929" s="188"/>
    </row>
    <row r="930" spans="1:4" ht="21" x14ac:dyDescent="0.35">
      <c r="A930" s="62" t="s">
        <v>1513</v>
      </c>
      <c r="B930" s="186" t="s">
        <v>191</v>
      </c>
      <c r="D930" s="188"/>
    </row>
    <row r="931" spans="1:4" ht="21" x14ac:dyDescent="0.35">
      <c r="A931" s="62" t="s">
        <v>1514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1515</v>
      </c>
      <c r="B934" s="186" t="s">
        <v>209</v>
      </c>
      <c r="D934" s="188"/>
    </row>
    <row r="935" spans="1:4" ht="21" x14ac:dyDescent="0.35">
      <c r="A935" s="62" t="s">
        <v>1516</v>
      </c>
      <c r="B935" s="186" t="s">
        <v>202</v>
      </c>
      <c r="D935" s="188"/>
    </row>
    <row r="936" spans="1:4" ht="21" x14ac:dyDescent="0.35">
      <c r="A936" s="62" t="s">
        <v>1517</v>
      </c>
      <c r="B936" s="186" t="s">
        <v>226</v>
      </c>
      <c r="D936" s="188"/>
    </row>
    <row r="937" spans="1:4" ht="21" x14ac:dyDescent="0.35">
      <c r="A937" s="62" t="s">
        <v>1518</v>
      </c>
      <c r="B937" s="186" t="s">
        <v>220</v>
      </c>
      <c r="D937" s="188"/>
    </row>
    <row r="938" spans="1:4" ht="21" x14ac:dyDescent="0.35">
      <c r="A938" s="62" t="s">
        <v>1519</v>
      </c>
      <c r="B938" s="186" t="s">
        <v>38</v>
      </c>
      <c r="D938" s="188"/>
    </row>
    <row r="939" spans="1:4" ht="21" x14ac:dyDescent="0.35">
      <c r="A939" s="62" t="s">
        <v>1520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1521</v>
      </c>
      <c r="B941" s="186" t="s">
        <v>332</v>
      </c>
      <c r="D941" s="188"/>
    </row>
    <row r="942" spans="1:4" ht="21" x14ac:dyDescent="0.35">
      <c r="A942" s="62" t="s">
        <v>1522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1523</v>
      </c>
      <c r="B975" s="186" t="s">
        <v>91</v>
      </c>
      <c r="D975" s="188"/>
    </row>
    <row r="976" spans="1:4" ht="21" x14ac:dyDescent="0.35">
      <c r="A976" s="62" t="s">
        <v>1524</v>
      </c>
      <c r="B976" s="186" t="s">
        <v>92</v>
      </c>
      <c r="D976" s="188"/>
    </row>
    <row r="977" spans="1:4" ht="21" x14ac:dyDescent="0.35">
      <c r="A977" s="62" t="s">
        <v>1525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1526</v>
      </c>
      <c r="B1009" s="186" t="s">
        <v>220</v>
      </c>
      <c r="D1009" s="188"/>
    </row>
    <row r="1010" spans="1:4" ht="20.25" customHeight="1" x14ac:dyDescent="0.35">
      <c r="A1010" s="62" t="s">
        <v>1519</v>
      </c>
      <c r="B1010" s="186" t="s">
        <v>38</v>
      </c>
      <c r="D1010" s="188"/>
    </row>
    <row r="1011" spans="1:4" ht="20.25" customHeight="1" x14ac:dyDescent="0.35">
      <c r="A1011" s="62" t="s">
        <v>1527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1678</v>
      </c>
      <c r="B1020" s="186" t="s">
        <v>1036</v>
      </c>
    </row>
    <row r="1021" spans="1:4" ht="20.25" customHeight="1" x14ac:dyDescent="0.35">
      <c r="A1021" s="62" t="s">
        <v>1674</v>
      </c>
      <c r="B1021" s="186" t="s">
        <v>1035</v>
      </c>
    </row>
    <row r="1022" spans="1:4" ht="20.25" customHeight="1" x14ac:dyDescent="0.35">
      <c r="A1022" s="62" t="s">
        <v>1676</v>
      </c>
      <c r="B1022" s="186" t="s">
        <v>1033</v>
      </c>
    </row>
    <row r="1023" spans="1:4" ht="20.25" customHeight="1" x14ac:dyDescent="0.35">
      <c r="A1023" s="62" t="s">
        <v>1677</v>
      </c>
      <c r="B1023" s="186" t="s">
        <v>1037</v>
      </c>
    </row>
    <row r="1024" spans="1:4" ht="20.25" customHeight="1" x14ac:dyDescent="0.35">
      <c r="A1024" s="62" t="s">
        <v>1675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1528</v>
      </c>
      <c r="B1120" s="186" t="s">
        <v>267</v>
      </c>
      <c r="D1120" s="188"/>
    </row>
    <row r="1121" spans="1:4" ht="20.25" customHeight="1" x14ac:dyDescent="0.35">
      <c r="A1121" s="62" t="s">
        <v>1529</v>
      </c>
      <c r="B1121" s="186" t="s">
        <v>268</v>
      </c>
      <c r="D1121" s="188"/>
    </row>
    <row r="1122" spans="1:4" ht="20.25" customHeight="1" x14ac:dyDescent="0.35">
      <c r="A1122" s="62" t="s">
        <v>1530</v>
      </c>
      <c r="B1122" s="186" t="s">
        <v>269</v>
      </c>
      <c r="D1122" s="188"/>
    </row>
    <row r="1123" spans="1:4" ht="20.25" customHeight="1" x14ac:dyDescent="0.35">
      <c r="A1123" s="62" t="s">
        <v>1720</v>
      </c>
      <c r="B1123" s="186" t="s">
        <v>270</v>
      </c>
      <c r="D1123" s="188"/>
    </row>
    <row r="1124" spans="1:4" ht="20.25" customHeight="1" x14ac:dyDescent="0.35">
      <c r="A1124" s="62" t="s">
        <v>1531</v>
      </c>
      <c r="B1124" s="186" t="s">
        <v>271</v>
      </c>
      <c r="D1124" s="188"/>
    </row>
    <row r="1125" spans="1:4" ht="20.25" customHeight="1" x14ac:dyDescent="0.35">
      <c r="A1125" s="62" t="s">
        <v>1532</v>
      </c>
      <c r="B1125" s="186" t="s">
        <v>272</v>
      </c>
      <c r="D1125" s="188"/>
    </row>
    <row r="1126" spans="1:4" ht="20.25" customHeight="1" x14ac:dyDescent="0.35">
      <c r="A1126" s="62" t="s">
        <v>1533</v>
      </c>
      <c r="B1126" s="186" t="s">
        <v>273</v>
      </c>
      <c r="D1126" s="188"/>
    </row>
    <row r="1127" spans="1:4" ht="20.25" customHeight="1" x14ac:dyDescent="0.35">
      <c r="A1127" s="62" t="s">
        <v>1534</v>
      </c>
      <c r="B1127" s="186" t="s">
        <v>274</v>
      </c>
      <c r="D1127" s="188"/>
    </row>
    <row r="1128" spans="1:4" ht="20.25" customHeight="1" x14ac:dyDescent="0.35">
      <c r="A1128" s="62" t="s">
        <v>1535</v>
      </c>
      <c r="B1128" s="186" t="s">
        <v>275</v>
      </c>
      <c r="D1128" s="188"/>
    </row>
    <row r="1129" spans="1:4" ht="20.25" customHeight="1" x14ac:dyDescent="0.35">
      <c r="A1129" s="62" t="s">
        <v>1536</v>
      </c>
      <c r="B1129" s="186" t="s">
        <v>276</v>
      </c>
      <c r="D1129" s="188"/>
    </row>
    <row r="1130" spans="1:4" ht="20.25" customHeight="1" x14ac:dyDescent="0.35">
      <c r="A1130" s="62" t="s">
        <v>1537</v>
      </c>
      <c r="B1130" s="186" t="s">
        <v>277</v>
      </c>
      <c r="D1130" s="188"/>
    </row>
    <row r="1131" spans="1:4" ht="20.25" customHeight="1" x14ac:dyDescent="0.35">
      <c r="A1131" s="62" t="s">
        <v>1538</v>
      </c>
      <c r="B1131" s="186" t="s">
        <v>278</v>
      </c>
      <c r="D1131" s="188"/>
    </row>
    <row r="1132" spans="1:4" ht="20.25" customHeight="1" x14ac:dyDescent="0.35">
      <c r="A1132" s="62" t="s">
        <v>1539</v>
      </c>
      <c r="B1132" s="186" t="s">
        <v>279</v>
      </c>
      <c r="D1132" s="188"/>
    </row>
    <row r="1133" spans="1:4" ht="20.25" customHeight="1" x14ac:dyDescent="0.35">
      <c r="A1133" s="62" t="s">
        <v>1540</v>
      </c>
      <c r="B1133" s="186" t="s">
        <v>172</v>
      </c>
      <c r="D1133" s="188"/>
    </row>
    <row r="1134" spans="1:4" ht="20.25" customHeight="1" x14ac:dyDescent="0.35">
      <c r="A1134" s="62" t="s">
        <v>1541</v>
      </c>
      <c r="B1134" s="186" t="s">
        <v>280</v>
      </c>
      <c r="D1134" s="188"/>
    </row>
    <row r="1135" spans="1:4" ht="20.25" customHeight="1" x14ac:dyDescent="0.35">
      <c r="A1135" s="62" t="s">
        <v>1542</v>
      </c>
      <c r="B1135" s="186" t="s">
        <v>281</v>
      </c>
      <c r="D1135" s="188"/>
    </row>
    <row r="1136" spans="1:4" ht="20.25" customHeight="1" x14ac:dyDescent="0.35">
      <c r="A1136" s="62" t="s">
        <v>1543</v>
      </c>
      <c r="B1136" s="186" t="s">
        <v>282</v>
      </c>
      <c r="D1136" s="188"/>
    </row>
    <row r="1137" spans="1:4" ht="20.25" customHeight="1" x14ac:dyDescent="0.35">
      <c r="A1137" s="62" t="s">
        <v>1544</v>
      </c>
      <c r="B1137" s="186" t="s">
        <v>283</v>
      </c>
      <c r="D1137" s="188"/>
    </row>
    <row r="1138" spans="1:4" ht="20.25" customHeight="1" x14ac:dyDescent="0.35">
      <c r="A1138" s="62" t="s">
        <v>1545</v>
      </c>
      <c r="B1138" s="186" t="s">
        <v>284</v>
      </c>
      <c r="D1138" s="188"/>
    </row>
    <row r="1139" spans="1:4" ht="20.25" customHeight="1" x14ac:dyDescent="0.35">
      <c r="A1139" s="62" t="s">
        <v>1546</v>
      </c>
      <c r="B1139" s="186" t="s">
        <v>285</v>
      </c>
      <c r="D1139" s="188"/>
    </row>
    <row r="1140" spans="1:4" ht="20.25" customHeight="1" x14ac:dyDescent="0.35">
      <c r="A1140" s="62" t="s">
        <v>1547</v>
      </c>
      <c r="B1140" s="186" t="s">
        <v>286</v>
      </c>
      <c r="D1140" s="188"/>
    </row>
    <row r="1141" spans="1:4" ht="20.25" customHeight="1" x14ac:dyDescent="0.35">
      <c r="A1141" s="62" t="s">
        <v>1548</v>
      </c>
      <c r="B1141" s="186" t="s">
        <v>89</v>
      </c>
      <c r="D1141" s="188"/>
    </row>
    <row r="1142" spans="1:4" ht="20.25" customHeight="1" x14ac:dyDescent="0.35">
      <c r="A1142" s="62" t="s">
        <v>1549</v>
      </c>
      <c r="B1142" s="186" t="s">
        <v>287</v>
      </c>
      <c r="D1142" s="188"/>
    </row>
    <row r="1143" spans="1:4" ht="20.25" customHeight="1" x14ac:dyDescent="0.35">
      <c r="A1143" s="62" t="s">
        <v>1550</v>
      </c>
      <c r="B1143" s="186" t="s">
        <v>288</v>
      </c>
      <c r="D1143" s="188"/>
    </row>
    <row r="1144" spans="1:4" ht="20.25" customHeight="1" x14ac:dyDescent="0.35">
      <c r="A1144" s="62" t="s">
        <v>1551</v>
      </c>
      <c r="B1144" s="186" t="s">
        <v>289</v>
      </c>
      <c r="D1144" s="188"/>
    </row>
    <row r="1145" spans="1:4" ht="20.25" customHeight="1" x14ac:dyDescent="0.35">
      <c r="A1145" s="62" t="s">
        <v>1552</v>
      </c>
      <c r="B1145" s="186" t="s">
        <v>290</v>
      </c>
      <c r="D1145" s="188"/>
    </row>
    <row r="1146" spans="1:4" ht="20.25" customHeight="1" x14ac:dyDescent="0.35">
      <c r="A1146" s="62" t="s">
        <v>1553</v>
      </c>
      <c r="B1146" s="186" t="s">
        <v>291</v>
      </c>
      <c r="D1146" s="188"/>
    </row>
    <row r="1147" spans="1:4" ht="20.25" customHeight="1" x14ac:dyDescent="0.35">
      <c r="A1147" s="62" t="s">
        <v>1554</v>
      </c>
      <c r="B1147" s="186" t="s">
        <v>292</v>
      </c>
      <c r="D1147" s="188"/>
    </row>
    <row r="1148" spans="1:4" ht="20.25" customHeight="1" x14ac:dyDescent="0.35">
      <c r="A1148" s="62" t="s">
        <v>1555</v>
      </c>
      <c r="B1148" s="186" t="s">
        <v>293</v>
      </c>
      <c r="D1148" s="188"/>
    </row>
    <row r="1149" spans="1:4" ht="20.25" customHeight="1" x14ac:dyDescent="0.35">
      <c r="A1149" s="62" t="s">
        <v>1556</v>
      </c>
      <c r="B1149" s="186" t="s">
        <v>294</v>
      </c>
      <c r="D1149" s="188"/>
    </row>
    <row r="1150" spans="1:4" ht="20.25" customHeight="1" x14ac:dyDescent="0.35">
      <c r="A1150" s="62" t="s">
        <v>1557</v>
      </c>
      <c r="B1150" s="186" t="s">
        <v>295</v>
      </c>
      <c r="D1150" s="188"/>
    </row>
    <row r="1151" spans="1:4" ht="20.25" customHeight="1" x14ac:dyDescent="0.35">
      <c r="A1151" s="62" t="s">
        <v>1558</v>
      </c>
      <c r="B1151" s="186" t="s">
        <v>90</v>
      </c>
      <c r="D1151" s="188"/>
    </row>
    <row r="1152" spans="1:4" ht="20.25" customHeight="1" x14ac:dyDescent="0.35">
      <c r="A1152" s="62" t="s">
        <v>1559</v>
      </c>
      <c r="B1152" s="186" t="s">
        <v>296</v>
      </c>
      <c r="D1152" s="188"/>
    </row>
    <row r="1153" spans="1:4" ht="20.25" customHeight="1" x14ac:dyDescent="0.35">
      <c r="A1153" s="62" t="s">
        <v>1560</v>
      </c>
      <c r="B1153" s="186" t="s">
        <v>297</v>
      </c>
      <c r="D1153" s="188"/>
    </row>
    <row r="1154" spans="1:4" ht="20.25" customHeight="1" x14ac:dyDescent="0.35">
      <c r="A1154" s="62" t="s">
        <v>1561</v>
      </c>
      <c r="B1154" s="186" t="s">
        <v>298</v>
      </c>
      <c r="D1154" s="188"/>
    </row>
    <row r="1155" spans="1:4" ht="20.25" customHeight="1" x14ac:dyDescent="0.35">
      <c r="A1155" s="62" t="s">
        <v>1562</v>
      </c>
      <c r="B1155" s="186" t="s">
        <v>299</v>
      </c>
      <c r="D1155" s="188"/>
    </row>
    <row r="1156" spans="1:4" ht="20.25" customHeight="1" x14ac:dyDescent="0.35">
      <c r="A1156" s="62" t="s">
        <v>1563</v>
      </c>
      <c r="B1156" s="186" t="s">
        <v>300</v>
      </c>
      <c r="D1156" s="188"/>
    </row>
    <row r="1157" spans="1:4" ht="20.25" customHeight="1" x14ac:dyDescent="0.35">
      <c r="A1157" s="62" t="s">
        <v>1564</v>
      </c>
      <c r="B1157" s="186" t="s">
        <v>301</v>
      </c>
      <c r="D1157" s="188"/>
    </row>
    <row r="1158" spans="1:4" ht="20.25" customHeight="1" x14ac:dyDescent="0.35">
      <c r="A1158" s="62" t="s">
        <v>1565</v>
      </c>
      <c r="B1158" s="186" t="s">
        <v>302</v>
      </c>
      <c r="D1158" s="188"/>
    </row>
    <row r="1159" spans="1:4" ht="20.25" customHeight="1" x14ac:dyDescent="0.35">
      <c r="A1159" s="62" t="s">
        <v>1566</v>
      </c>
      <c r="B1159" s="186" t="s">
        <v>303</v>
      </c>
      <c r="D1159" s="188"/>
    </row>
    <row r="1160" spans="1:4" ht="20.25" customHeight="1" x14ac:dyDescent="0.35">
      <c r="A1160" s="62" t="s">
        <v>1567</v>
      </c>
      <c r="B1160" s="186" t="s">
        <v>304</v>
      </c>
      <c r="D1160" s="188"/>
    </row>
    <row r="1161" spans="1:4" ht="20.25" customHeight="1" x14ac:dyDescent="0.35">
      <c r="A1161" s="62" t="s">
        <v>1568</v>
      </c>
      <c r="B1161" s="186" t="s">
        <v>305</v>
      </c>
      <c r="D1161" s="188"/>
    </row>
    <row r="1162" spans="1:4" ht="20.25" customHeight="1" x14ac:dyDescent="0.35">
      <c r="A1162" s="62" t="s">
        <v>1569</v>
      </c>
      <c r="B1162" s="186" t="s">
        <v>306</v>
      </c>
      <c r="D1162" s="188"/>
    </row>
    <row r="1163" spans="1:4" ht="20.25" customHeight="1" x14ac:dyDescent="0.35">
      <c r="A1163" s="62" t="s">
        <v>1570</v>
      </c>
      <c r="B1163" s="186" t="s">
        <v>307</v>
      </c>
      <c r="D1163" s="188"/>
    </row>
    <row r="1164" spans="1:4" ht="20.25" customHeight="1" x14ac:dyDescent="0.35">
      <c r="A1164" s="62" t="s">
        <v>1571</v>
      </c>
      <c r="B1164" s="186" t="s">
        <v>308</v>
      </c>
      <c r="D1164" s="188"/>
    </row>
    <row r="1165" spans="1:4" ht="20.25" customHeight="1" x14ac:dyDescent="0.35">
      <c r="A1165" s="62" t="s">
        <v>1572</v>
      </c>
      <c r="B1165" s="186" t="s">
        <v>306</v>
      </c>
      <c r="D1165" s="188"/>
    </row>
    <row r="1166" spans="1:4" ht="20.25" customHeight="1" x14ac:dyDescent="0.35">
      <c r="A1166" s="62" t="s">
        <v>1573</v>
      </c>
      <c r="B1166" s="186" t="s">
        <v>309</v>
      </c>
      <c r="D1166" s="188"/>
    </row>
    <row r="1167" spans="1:4" ht="20.25" customHeight="1" x14ac:dyDescent="0.35">
      <c r="A1167" s="62" t="s">
        <v>1574</v>
      </c>
      <c r="B1167" s="186" t="s">
        <v>310</v>
      </c>
      <c r="D1167" s="188"/>
    </row>
    <row r="1168" spans="1:4" ht="20.25" customHeight="1" x14ac:dyDescent="0.35">
      <c r="A1168" s="62" t="s">
        <v>1575</v>
      </c>
      <c r="B1168" s="186" t="s">
        <v>311</v>
      </c>
      <c r="D1168" s="188"/>
    </row>
    <row r="1169" spans="1:4" ht="20.25" customHeight="1" x14ac:dyDescent="0.35">
      <c r="A1169" s="62" t="s">
        <v>1576</v>
      </c>
      <c r="B1169" s="186" t="s">
        <v>312</v>
      </c>
      <c r="D1169" s="188"/>
    </row>
    <row r="1170" spans="1:4" ht="20.25" customHeight="1" x14ac:dyDescent="0.35">
      <c r="A1170" s="62" t="s">
        <v>1577</v>
      </c>
      <c r="B1170" s="186" t="s">
        <v>157</v>
      </c>
      <c r="D1170" s="188"/>
    </row>
    <row r="1171" spans="1:4" ht="20.25" customHeight="1" x14ac:dyDescent="0.35">
      <c r="A1171" s="62" t="s">
        <v>1578</v>
      </c>
      <c r="B1171" s="186" t="s">
        <v>313</v>
      </c>
      <c r="D1171" s="188"/>
    </row>
    <row r="1172" spans="1:4" ht="20.25" customHeight="1" x14ac:dyDescent="0.35">
      <c r="A1172" s="62" t="s">
        <v>1579</v>
      </c>
      <c r="B1172" s="186" t="s">
        <v>314</v>
      </c>
      <c r="D1172" s="188"/>
    </row>
    <row r="1173" spans="1:4" ht="20.25" customHeight="1" x14ac:dyDescent="0.35">
      <c r="A1173" s="62" t="s">
        <v>1580</v>
      </c>
      <c r="B1173" s="186" t="s">
        <v>315</v>
      </c>
      <c r="D1173" s="188"/>
    </row>
    <row r="1174" spans="1:4" ht="20.25" customHeight="1" x14ac:dyDescent="0.35">
      <c r="A1174" s="62" t="s">
        <v>1581</v>
      </c>
      <c r="B1174" s="186" t="s">
        <v>316</v>
      </c>
      <c r="D1174" s="188"/>
    </row>
    <row r="1175" spans="1:4" ht="20.25" customHeight="1" x14ac:dyDescent="0.35">
      <c r="A1175" s="62" t="s">
        <v>1582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1583</v>
      </c>
      <c r="B1177" s="186" t="s">
        <v>318</v>
      </c>
      <c r="D1177" s="188"/>
    </row>
    <row r="1178" spans="1:4" ht="20.25" customHeight="1" x14ac:dyDescent="0.35">
      <c r="A1178" s="62" t="s">
        <v>1584</v>
      </c>
      <c r="B1178" s="186" t="s">
        <v>319</v>
      </c>
      <c r="D1178" s="188"/>
    </row>
    <row r="1179" spans="1:4" ht="20.25" customHeight="1" x14ac:dyDescent="0.35">
      <c r="A1179" s="62" t="s">
        <v>1585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1586</v>
      </c>
      <c r="B1181" s="186" t="s">
        <v>143</v>
      </c>
      <c r="D1181" s="188"/>
    </row>
    <row r="1182" spans="1:4" ht="20.25" customHeight="1" x14ac:dyDescent="0.35">
      <c r="A1182" s="62" t="s">
        <v>1587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1588</v>
      </c>
      <c r="B1184" s="186"/>
      <c r="D1184" s="188"/>
    </row>
    <row r="1185" spans="1:4" ht="20.25" customHeight="1" x14ac:dyDescent="0.35">
      <c r="A1185" s="62" t="s">
        <v>1589</v>
      </c>
      <c r="B1185" s="186"/>
      <c r="D1185" s="188"/>
    </row>
    <row r="1186" spans="1:4" ht="20.25" customHeight="1" x14ac:dyDescent="0.35">
      <c r="A1186" s="62" t="s">
        <v>1590</v>
      </c>
      <c r="B1186" s="186"/>
      <c r="D1186" s="188"/>
    </row>
    <row r="1187" spans="1:4" ht="20.25" customHeight="1" x14ac:dyDescent="0.35">
      <c r="A1187" s="62" t="s">
        <v>1591</v>
      </c>
      <c r="B1187" s="186"/>
      <c r="D1187" s="188"/>
    </row>
    <row r="1188" spans="1:4" ht="20.25" customHeight="1" x14ac:dyDescent="0.35">
      <c r="A1188" s="62" t="s">
        <v>1592</v>
      </c>
      <c r="B1188" s="186"/>
      <c r="D1188" s="188"/>
    </row>
    <row r="1189" spans="1:4" ht="20.25" customHeight="1" x14ac:dyDescent="0.35">
      <c r="A1189" s="62" t="s">
        <v>1593</v>
      </c>
      <c r="B1189" s="186"/>
      <c r="D1189" s="188"/>
    </row>
    <row r="1190" spans="1:4" ht="20.25" customHeight="1" x14ac:dyDescent="0.35">
      <c r="A1190" s="62" t="s">
        <v>1594</v>
      </c>
      <c r="B1190" s="186"/>
      <c r="D1190" s="188"/>
    </row>
    <row r="1191" spans="1:4" ht="20.25" customHeight="1" x14ac:dyDescent="0.35">
      <c r="A1191" s="62" t="s">
        <v>1595</v>
      </c>
      <c r="B1191" s="186"/>
      <c r="D1191" s="188"/>
    </row>
    <row r="1192" spans="1:4" ht="20.25" customHeight="1" x14ac:dyDescent="0.35">
      <c r="A1192" s="62" t="s">
        <v>1596</v>
      </c>
      <c r="B1192" s="186"/>
      <c r="D1192" s="188"/>
    </row>
    <row r="1193" spans="1:4" ht="20.25" customHeight="1" x14ac:dyDescent="0.35">
      <c r="A1193" s="62" t="s">
        <v>1597</v>
      </c>
      <c r="B1193" s="186"/>
      <c r="D1193" s="188"/>
    </row>
    <row r="1194" spans="1:4" ht="20.25" customHeight="1" x14ac:dyDescent="0.35">
      <c r="A1194" s="62" t="s">
        <v>1370</v>
      </c>
      <c r="B1194" s="186"/>
      <c r="D1194" s="188"/>
    </row>
    <row r="1195" spans="1:4" ht="20.25" customHeight="1" x14ac:dyDescent="0.35">
      <c r="A1195" s="62" t="s">
        <v>1598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1599</v>
      </c>
      <c r="B1202" s="186" t="s">
        <v>549</v>
      </c>
      <c r="D1202" s="188"/>
    </row>
    <row r="1203" spans="1:4" ht="20.25" customHeight="1" x14ac:dyDescent="0.35">
      <c r="A1203" s="62" t="s">
        <v>1600</v>
      </c>
      <c r="B1203" s="186" t="s">
        <v>550</v>
      </c>
      <c r="D1203" s="188"/>
    </row>
    <row r="1204" spans="1:4" ht="20.25" customHeight="1" x14ac:dyDescent="0.35">
      <c r="A1204" s="62" t="s">
        <v>1601</v>
      </c>
      <c r="B1204" s="186" t="s">
        <v>551</v>
      </c>
      <c r="D1204" s="188"/>
    </row>
    <row r="1205" spans="1:4" ht="20.25" customHeight="1" x14ac:dyDescent="0.35">
      <c r="A1205" s="62" t="s">
        <v>1380</v>
      </c>
      <c r="B1205" s="186"/>
      <c r="D1205" s="188"/>
    </row>
    <row r="1206" spans="1:4" ht="20.25" customHeight="1" x14ac:dyDescent="0.35">
      <c r="A1206" s="62" t="s">
        <v>1381</v>
      </c>
      <c r="B1206" s="186"/>
      <c r="D1206" s="188"/>
    </row>
    <row r="1207" spans="1:4" ht="20.25" customHeight="1" x14ac:dyDescent="0.35">
      <c r="A1207" s="62" t="s">
        <v>1382</v>
      </c>
      <c r="B1207" s="186"/>
      <c r="D1207" s="188"/>
    </row>
    <row r="1208" spans="1:4" ht="20.25" customHeight="1" x14ac:dyDescent="0.35">
      <c r="A1208" s="62" t="s">
        <v>1383</v>
      </c>
      <c r="B1208" s="186"/>
      <c r="D1208" s="188"/>
    </row>
    <row r="1209" spans="1:4" ht="20.25" customHeight="1" x14ac:dyDescent="0.35">
      <c r="A1209" s="62" t="s">
        <v>1384</v>
      </c>
      <c r="B1209" s="186"/>
      <c r="D1209" s="188"/>
    </row>
    <row r="1210" spans="1:4" ht="20.25" customHeight="1" x14ac:dyDescent="0.35">
      <c r="A1210" s="62" t="s">
        <v>1200</v>
      </c>
      <c r="B1210" s="186" t="s">
        <v>552</v>
      </c>
      <c r="D1210" s="188"/>
    </row>
    <row r="1211" spans="1:4" ht="20.25" customHeight="1" x14ac:dyDescent="0.35">
      <c r="A1211" s="62" t="s">
        <v>1201</v>
      </c>
      <c r="B1211" s="186"/>
      <c r="D1211" s="188"/>
    </row>
    <row r="1212" spans="1:4" ht="20.25" customHeight="1" x14ac:dyDescent="0.35">
      <c r="A1212" s="62" t="s">
        <v>1395</v>
      </c>
      <c r="B1212" s="186" t="s">
        <v>553</v>
      </c>
      <c r="D1212" s="188"/>
    </row>
    <row r="1213" spans="1:4" ht="20.25" customHeight="1" x14ac:dyDescent="0.35">
      <c r="A1213" s="62" t="s">
        <v>1396</v>
      </c>
      <c r="B1213" s="186"/>
      <c r="D1213" s="188"/>
    </row>
    <row r="1214" spans="1:4" ht="20.25" customHeight="1" x14ac:dyDescent="0.35">
      <c r="A1214" s="62" t="s">
        <v>1397</v>
      </c>
      <c r="B1214" s="186" t="s">
        <v>554</v>
      </c>
      <c r="D1214" s="188"/>
    </row>
    <row r="1215" spans="1:4" ht="20.25" customHeight="1" x14ac:dyDescent="0.35">
      <c r="A1215" s="62" t="s">
        <v>1398</v>
      </c>
      <c r="B1215" s="186"/>
      <c r="D1215" s="188"/>
    </row>
    <row r="1216" spans="1:4" ht="20.25" customHeight="1" x14ac:dyDescent="0.35">
      <c r="A1216" s="62" t="s">
        <v>1401</v>
      </c>
      <c r="B1216" s="186" t="s">
        <v>555</v>
      </c>
      <c r="D1216" s="188"/>
    </row>
    <row r="1217" spans="1:4" ht="20.25" customHeight="1" x14ac:dyDescent="0.35">
      <c r="A1217" s="62" t="s">
        <v>1400</v>
      </c>
      <c r="B1217" s="186" t="s">
        <v>556</v>
      </c>
      <c r="D1217" s="188"/>
    </row>
    <row r="1218" spans="1:4" ht="20.25" customHeight="1" x14ac:dyDescent="0.35">
      <c r="A1218" s="62" t="s">
        <v>1401</v>
      </c>
      <c r="B1218" s="186" t="s">
        <v>557</v>
      </c>
      <c r="D1218" s="188"/>
    </row>
    <row r="1219" spans="1:4" ht="20.25" customHeight="1" x14ac:dyDescent="0.35">
      <c r="A1219" s="62" t="s">
        <v>1602</v>
      </c>
      <c r="B1219" s="186" t="s">
        <v>558</v>
      </c>
      <c r="D1219" s="188"/>
    </row>
    <row r="1220" spans="1:4" ht="20.25" customHeight="1" x14ac:dyDescent="0.35">
      <c r="A1220" s="62" t="s">
        <v>1603</v>
      </c>
      <c r="B1220" s="186"/>
      <c r="D1220" s="188"/>
    </row>
    <row r="1221" spans="1:4" ht="20.25" customHeight="1" x14ac:dyDescent="0.35">
      <c r="A1221" s="62" t="s">
        <v>1604</v>
      </c>
      <c r="B1221" s="186"/>
      <c r="D1221" s="188"/>
    </row>
    <row r="1222" spans="1:4" ht="20.25" customHeight="1" x14ac:dyDescent="0.35">
      <c r="A1222" s="62" t="s">
        <v>1115</v>
      </c>
      <c r="B1222" s="186" t="s">
        <v>559</v>
      </c>
      <c r="D1222" s="188"/>
    </row>
    <row r="1223" spans="1:4" ht="20.25" customHeight="1" x14ac:dyDescent="0.35">
      <c r="A1223" s="62" t="s">
        <v>1119</v>
      </c>
      <c r="B1223" s="186" t="s">
        <v>560</v>
      </c>
      <c r="D1223" s="188"/>
    </row>
    <row r="1224" spans="1:4" ht="20.25" customHeight="1" x14ac:dyDescent="0.35">
      <c r="A1224" s="62" t="s">
        <v>1605</v>
      </c>
      <c r="B1224" s="186"/>
      <c r="D1224" s="188"/>
    </row>
    <row r="1225" spans="1:4" ht="20.25" customHeight="1" x14ac:dyDescent="0.35">
      <c r="A1225" s="62" t="s">
        <v>1117</v>
      </c>
      <c r="B1225" s="186"/>
      <c r="D1225" s="188"/>
    </row>
    <row r="1226" spans="1:4" ht="20.25" customHeight="1" x14ac:dyDescent="0.35">
      <c r="A1226" s="62" t="s">
        <v>1606</v>
      </c>
      <c r="B1226" s="186"/>
      <c r="D1226" s="188"/>
    </row>
    <row r="1227" spans="1:4" ht="20.25" customHeight="1" x14ac:dyDescent="0.35">
      <c r="A1227" s="62" t="s">
        <v>1607</v>
      </c>
      <c r="B1227" s="186"/>
      <c r="D1227" s="188"/>
    </row>
    <row r="1228" spans="1:4" ht="20.25" customHeight="1" x14ac:dyDescent="0.35">
      <c r="A1228" s="62" t="s">
        <v>1608</v>
      </c>
      <c r="B1228" s="186"/>
      <c r="D1228" s="188"/>
    </row>
    <row r="1229" spans="1:4" ht="20.25" customHeight="1" x14ac:dyDescent="0.35">
      <c r="A1229" s="62" t="s">
        <v>1122</v>
      </c>
      <c r="B1229" s="186" t="s">
        <v>561</v>
      </c>
      <c r="D1229" s="188"/>
    </row>
    <row r="1230" spans="1:4" ht="20.25" customHeight="1" x14ac:dyDescent="0.35">
      <c r="A1230" s="62" t="s">
        <v>1609</v>
      </c>
      <c r="B1230" s="186" t="s">
        <v>563</v>
      </c>
      <c r="D1230" s="188"/>
    </row>
    <row r="1231" spans="1:4" ht="20.25" customHeight="1" x14ac:dyDescent="0.35">
      <c r="A1231" s="62" t="s">
        <v>1610</v>
      </c>
      <c r="B1231" s="186" t="s">
        <v>564</v>
      </c>
      <c r="D1231" s="188"/>
    </row>
    <row r="1232" spans="1:4" ht="20.25" customHeight="1" x14ac:dyDescent="0.35">
      <c r="A1232" s="62" t="s">
        <v>1123</v>
      </c>
      <c r="B1232" s="186" t="s">
        <v>565</v>
      </c>
      <c r="D1232" s="188"/>
    </row>
    <row r="1233" spans="1:4" ht="20.25" customHeight="1" x14ac:dyDescent="0.35">
      <c r="A1233" s="62" t="s">
        <v>1129</v>
      </c>
      <c r="B1233" s="186" t="s">
        <v>566</v>
      </c>
      <c r="D1233" s="188"/>
    </row>
    <row r="1234" spans="1:4" ht="20.25" customHeight="1" x14ac:dyDescent="0.35">
      <c r="A1234" s="62" t="s">
        <v>1611</v>
      </c>
      <c r="B1234" s="186" t="s">
        <v>567</v>
      </c>
      <c r="D1234" s="188"/>
    </row>
    <row r="1235" spans="1:4" ht="20.25" customHeight="1" x14ac:dyDescent="0.35">
      <c r="A1235" s="62" t="s">
        <v>1612</v>
      </c>
      <c r="B1235" s="186" t="s">
        <v>568</v>
      </c>
      <c r="D1235" s="188"/>
    </row>
    <row r="1236" spans="1:4" ht="20.25" customHeight="1" x14ac:dyDescent="0.35">
      <c r="A1236" s="62" t="s">
        <v>1438</v>
      </c>
      <c r="B1236" s="186"/>
      <c r="D1236" s="188"/>
    </row>
    <row r="1237" spans="1:4" ht="20.25" customHeight="1" x14ac:dyDescent="0.35">
      <c r="A1237" s="62" t="s">
        <v>1439</v>
      </c>
      <c r="B1237" s="186"/>
      <c r="D1237" s="188"/>
    </row>
    <row r="1238" spans="1:4" ht="20.25" customHeight="1" x14ac:dyDescent="0.35">
      <c r="A1238" s="62" t="s">
        <v>1440</v>
      </c>
      <c r="B1238" s="186"/>
      <c r="D1238" s="188"/>
    </row>
    <row r="1239" spans="1:4" ht="20.25" customHeight="1" x14ac:dyDescent="0.35">
      <c r="A1239" s="62" t="s">
        <v>1441</v>
      </c>
      <c r="B1239" s="186"/>
      <c r="D1239" s="188"/>
    </row>
    <row r="1240" spans="1:4" ht="20.25" customHeight="1" x14ac:dyDescent="0.35">
      <c r="A1240" s="62" t="s">
        <v>1442</v>
      </c>
      <c r="B1240" s="186"/>
      <c r="D1240" s="188"/>
    </row>
    <row r="1241" spans="1:4" ht="20.25" customHeight="1" x14ac:dyDescent="0.35">
      <c r="A1241" s="62" t="s">
        <v>1443</v>
      </c>
      <c r="B1241" s="186"/>
      <c r="D1241" s="188"/>
    </row>
    <row r="1242" spans="1:4" ht="20.25" customHeight="1" x14ac:dyDescent="0.35">
      <c r="A1242" s="62" t="s">
        <v>1444</v>
      </c>
      <c r="B1242" s="186"/>
      <c r="D1242" s="188"/>
    </row>
    <row r="1243" spans="1:4" ht="20.25" customHeight="1" x14ac:dyDescent="0.35">
      <c r="A1243" s="62" t="s">
        <v>1445</v>
      </c>
      <c r="B1243" s="186" t="s">
        <v>570</v>
      </c>
      <c r="D1243" s="188"/>
    </row>
    <row r="1244" spans="1:4" ht="20.25" customHeight="1" x14ac:dyDescent="0.35">
      <c r="A1244" s="62" t="s">
        <v>1446</v>
      </c>
      <c r="B1244" s="186"/>
      <c r="D1244" s="188"/>
    </row>
    <row r="1245" spans="1:4" ht="20.25" customHeight="1" x14ac:dyDescent="0.35">
      <c r="A1245" s="62" t="s">
        <v>1447</v>
      </c>
      <c r="B1245" s="186"/>
      <c r="D1245" s="188"/>
    </row>
    <row r="1246" spans="1:4" ht="20.25" customHeight="1" x14ac:dyDescent="0.35">
      <c r="A1246" s="62" t="s">
        <v>1448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1449</v>
      </c>
      <c r="B1249" s="186"/>
      <c r="D1249" s="188"/>
    </row>
    <row r="1250" spans="1:4" ht="20.25" customHeight="1" x14ac:dyDescent="0.35">
      <c r="A1250" s="62" t="s">
        <v>1450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1451</v>
      </c>
      <c r="B1252" s="186"/>
      <c r="D1252" s="188"/>
    </row>
    <row r="1253" spans="1:4" ht="20.25" customHeight="1" x14ac:dyDescent="0.35">
      <c r="A1253" s="62" t="s">
        <v>1613</v>
      </c>
      <c r="B1253" s="186" t="s">
        <v>571</v>
      </c>
      <c r="D1253" s="188"/>
    </row>
    <row r="1254" spans="1:4" ht="20.25" customHeight="1" x14ac:dyDescent="0.35">
      <c r="A1254" s="62" t="s">
        <v>1453</v>
      </c>
      <c r="B1254" s="186"/>
      <c r="D1254" s="188"/>
    </row>
    <row r="1255" spans="1:4" ht="20.25" customHeight="1" x14ac:dyDescent="0.35">
      <c r="A1255" s="62" t="s">
        <v>1454</v>
      </c>
      <c r="B1255" s="186"/>
      <c r="D1255" s="188"/>
    </row>
    <row r="1256" spans="1:4" ht="20.25" customHeight="1" x14ac:dyDescent="0.35">
      <c r="A1256" s="62" t="s">
        <v>1455</v>
      </c>
      <c r="B1256" s="186"/>
      <c r="D1256" s="188"/>
    </row>
    <row r="1257" spans="1:4" ht="20.25" customHeight="1" x14ac:dyDescent="0.35">
      <c r="A1257" s="62" t="s">
        <v>1456</v>
      </c>
      <c r="B1257" s="186"/>
      <c r="D1257" s="188"/>
    </row>
    <row r="1258" spans="1:4" ht="20.25" customHeight="1" x14ac:dyDescent="0.35">
      <c r="A1258" s="62" t="s">
        <v>1459</v>
      </c>
      <c r="B1258" s="186" t="s">
        <v>572</v>
      </c>
      <c r="D1258" s="188"/>
    </row>
    <row r="1259" spans="1:4" ht="20.25" customHeight="1" x14ac:dyDescent="0.35">
      <c r="A1259" s="62" t="s">
        <v>1460</v>
      </c>
      <c r="B1259" s="186"/>
      <c r="D1259" s="188"/>
    </row>
    <row r="1260" spans="1:4" ht="20.25" customHeight="1" x14ac:dyDescent="0.35">
      <c r="A1260" s="62" t="s">
        <v>1461</v>
      </c>
      <c r="B1260" s="186"/>
      <c r="D1260" s="188"/>
    </row>
    <row r="1261" spans="1:4" ht="20.25" customHeight="1" x14ac:dyDescent="0.35">
      <c r="A1261" s="62" t="s">
        <v>1462</v>
      </c>
      <c r="B1261" s="186"/>
      <c r="D1261" s="188"/>
    </row>
    <row r="1262" spans="1:4" ht="20.25" customHeight="1" x14ac:dyDescent="0.35">
      <c r="A1262" s="62" t="s">
        <v>1463</v>
      </c>
      <c r="B1262" s="186"/>
      <c r="D1262" s="188"/>
    </row>
    <row r="1263" spans="1:4" ht="20.25" customHeight="1" x14ac:dyDescent="0.35">
      <c r="A1263" s="62" t="s">
        <v>1464</v>
      </c>
      <c r="B1263" s="186"/>
      <c r="D1263" s="188"/>
    </row>
    <row r="1264" spans="1:4" ht="20.25" customHeight="1" x14ac:dyDescent="0.35">
      <c r="A1264" s="62" t="s">
        <v>1465</v>
      </c>
      <c r="B1264" s="186"/>
      <c r="D1264" s="188"/>
    </row>
    <row r="1265" spans="1:4" ht="20.25" customHeight="1" x14ac:dyDescent="0.35">
      <c r="A1265" s="62" t="s">
        <v>1614</v>
      </c>
      <c r="B1265" s="186"/>
      <c r="D1265" s="188"/>
    </row>
    <row r="1266" spans="1:4" ht="20.25" customHeight="1" x14ac:dyDescent="0.35">
      <c r="A1266" s="62" t="s">
        <v>1468</v>
      </c>
      <c r="B1266" s="186" t="s">
        <v>573</v>
      </c>
      <c r="D1266" s="188"/>
    </row>
    <row r="1267" spans="1:4" ht="20.25" customHeight="1" x14ac:dyDescent="0.35">
      <c r="A1267" s="62" t="s">
        <v>1469</v>
      </c>
      <c r="B1267" s="186"/>
      <c r="D1267" s="188"/>
    </row>
    <row r="1268" spans="1:4" ht="20.25" customHeight="1" x14ac:dyDescent="0.35">
      <c r="A1268" s="62" t="s">
        <v>1470</v>
      </c>
      <c r="B1268" s="186"/>
      <c r="D1268" s="188"/>
    </row>
    <row r="1269" spans="1:4" ht="20.25" customHeight="1" x14ac:dyDescent="0.35">
      <c r="A1269" s="62" t="s">
        <v>1471</v>
      </c>
      <c r="B1269" s="186"/>
      <c r="D1269" s="188"/>
    </row>
    <row r="1270" spans="1:4" ht="20.25" customHeight="1" x14ac:dyDescent="0.35">
      <c r="A1270" s="62" t="s">
        <v>1615</v>
      </c>
      <c r="B1270" s="186"/>
      <c r="D1270" s="188"/>
    </row>
    <row r="1271" spans="1:4" ht="20.25" customHeight="1" x14ac:dyDescent="0.35">
      <c r="A1271" s="62" t="s">
        <v>1616</v>
      </c>
      <c r="B1271" s="186"/>
      <c r="D1271" s="188"/>
    </row>
    <row r="1272" spans="1:4" ht="20.25" customHeight="1" x14ac:dyDescent="0.35">
      <c r="A1272" s="62" t="s">
        <v>1473</v>
      </c>
      <c r="B1272" s="186"/>
      <c r="D1272" s="188"/>
    </row>
    <row r="1273" spans="1:4" ht="20.25" customHeight="1" x14ac:dyDescent="0.35">
      <c r="A1273" s="62" t="s">
        <v>1474</v>
      </c>
      <c r="B1273" s="186" t="s">
        <v>574</v>
      </c>
      <c r="D1273" s="188"/>
    </row>
    <row r="1274" spans="1:4" ht="20.25" customHeight="1" x14ac:dyDescent="0.35">
      <c r="A1274" s="62" t="s">
        <v>1475</v>
      </c>
      <c r="B1274" s="186"/>
      <c r="D1274" s="188"/>
    </row>
    <row r="1275" spans="1:4" ht="20.25" customHeight="1" x14ac:dyDescent="0.35">
      <c r="A1275" s="62" t="s">
        <v>1476</v>
      </c>
      <c r="B1275" s="186"/>
      <c r="D1275" s="188"/>
    </row>
    <row r="1276" spans="1:4" ht="20.25" customHeight="1" x14ac:dyDescent="0.35">
      <c r="A1276" s="62" t="s">
        <v>1477</v>
      </c>
      <c r="B1276" s="186"/>
      <c r="D1276" s="188"/>
    </row>
    <row r="1277" spans="1:4" ht="20.25" customHeight="1" x14ac:dyDescent="0.35">
      <c r="A1277" s="62" t="s">
        <v>1478</v>
      </c>
      <c r="B1277" s="186"/>
      <c r="D1277" s="188"/>
    </row>
    <row r="1278" spans="1:4" ht="20.25" customHeight="1" x14ac:dyDescent="0.35">
      <c r="A1278" s="62" t="s">
        <v>1479</v>
      </c>
      <c r="B1278" s="186" t="s">
        <v>575</v>
      </c>
      <c r="D1278" s="188"/>
    </row>
    <row r="1279" spans="1:4" ht="20.25" customHeight="1" x14ac:dyDescent="0.35">
      <c r="A1279" s="62" t="s">
        <v>1480</v>
      </c>
      <c r="B1279" s="186"/>
      <c r="D1279" s="188"/>
    </row>
    <row r="1280" spans="1:4" ht="20.25" customHeight="1" x14ac:dyDescent="0.35">
      <c r="A1280" s="62" t="s">
        <v>1481</v>
      </c>
      <c r="B1280" s="186"/>
      <c r="D1280" s="188"/>
    </row>
    <row r="1281" spans="1:4" ht="20.25" customHeight="1" x14ac:dyDescent="0.35">
      <c r="A1281" s="62" t="s">
        <v>1482</v>
      </c>
      <c r="B1281" s="186"/>
      <c r="D1281" s="188"/>
    </row>
    <row r="1282" spans="1:4" ht="20.25" customHeight="1" x14ac:dyDescent="0.35">
      <c r="A1282" s="62" t="s">
        <v>1483</v>
      </c>
      <c r="B1282" s="186" t="s">
        <v>576</v>
      </c>
      <c r="D1282" s="188"/>
    </row>
    <row r="1283" spans="1:4" ht="20.25" customHeight="1" x14ac:dyDescent="0.35">
      <c r="A1283" s="62" t="s">
        <v>1484</v>
      </c>
      <c r="B1283" s="186"/>
      <c r="D1283" s="188"/>
    </row>
    <row r="1284" spans="1:4" ht="20.25" customHeight="1" x14ac:dyDescent="0.35">
      <c r="A1284" s="62" t="s">
        <v>1485</v>
      </c>
      <c r="B1284" s="186"/>
      <c r="D1284" s="188"/>
    </row>
    <row r="1285" spans="1:4" ht="20.25" customHeight="1" x14ac:dyDescent="0.35">
      <c r="A1285" s="62" t="s">
        <v>1486</v>
      </c>
      <c r="B1285" s="186"/>
      <c r="D1285" s="188"/>
    </row>
    <row r="1286" spans="1:4" ht="20.25" customHeight="1" x14ac:dyDescent="0.35">
      <c r="A1286" s="62" t="s">
        <v>1487</v>
      </c>
      <c r="B1286" s="186" t="s">
        <v>577</v>
      </c>
      <c r="D1286" s="188"/>
    </row>
    <row r="1287" spans="1:4" ht="20.25" customHeight="1" x14ac:dyDescent="0.35">
      <c r="A1287" s="62" t="s">
        <v>1488</v>
      </c>
      <c r="B1287" s="186" t="s">
        <v>578</v>
      </c>
      <c r="D1287" s="188"/>
    </row>
    <row r="1288" spans="1:4" ht="20.25" customHeight="1" x14ac:dyDescent="0.35">
      <c r="A1288" s="62" t="s">
        <v>1489</v>
      </c>
      <c r="B1288" s="186"/>
      <c r="D1288" s="188"/>
    </row>
    <row r="1289" spans="1:4" ht="20.25" customHeight="1" x14ac:dyDescent="0.35">
      <c r="A1289" s="62" t="s">
        <v>1490</v>
      </c>
      <c r="B1289" s="186"/>
      <c r="D1289" s="188"/>
    </row>
    <row r="1290" spans="1:4" ht="20.25" customHeight="1" x14ac:dyDescent="0.35">
      <c r="A1290" s="62" t="s">
        <v>1491</v>
      </c>
      <c r="B1290" s="186" t="s">
        <v>579</v>
      </c>
      <c r="D1290" s="188"/>
    </row>
    <row r="1291" spans="1:4" ht="20.25" customHeight="1" x14ac:dyDescent="0.35">
      <c r="A1291" s="62" t="s">
        <v>1492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gXpwbedMhbOBGrRSBoJF5yv1PmhRLN1ru6tTj+4ZYlsEDlS13byK//+zDbNbmjzLA3uLbVQ9uO7iNFvVaDcgAA==" saltValue="5BO2n4r11ycaT1KGSy8LXQ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51" zoomScaleNormal="100" workbookViewId="0">
      <selection activeCell="F52" sqref="F52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64" t="str">
        <f>'(G1) Fjalori'!A13</f>
        <v>Verdhë = Per tu plotësuar nga Departamenti i Financës</v>
      </c>
      <c r="B1" s="865"/>
      <c r="C1" s="865"/>
      <c r="D1" s="865"/>
      <c r="E1" s="865"/>
      <c r="F1" s="866"/>
    </row>
    <row r="3" spans="1:8" ht="21" x14ac:dyDescent="0.35">
      <c r="A3" s="867" t="str">
        <f>'(G1) Fjalori'!A212</f>
        <v>(C1b) INVESTIMET: VITET E KALUARA DHE VITI AKTUAL</v>
      </c>
      <c r="B3" s="868"/>
      <c r="C3" s="868"/>
      <c r="D3" s="868"/>
      <c r="E3" s="868"/>
      <c r="F3" s="869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2019</v>
      </c>
      <c r="E5" s="457">
        <f>'(B1)Informacion i përgjithshëm '!B6</f>
        <v>2020</v>
      </c>
      <c r="F5" s="456">
        <f>'(B1)Informacion i përgjithshëm '!B7</f>
        <v>2021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4" t="str">
        <f>'(B3) Struktura Funksionale'!A6</f>
        <v>01 Shërbimet e Përgjithshme Publike</v>
      </c>
      <c r="B7" s="374"/>
      <c r="C7" s="374"/>
      <c r="D7" s="374"/>
      <c r="E7" s="374"/>
      <c r="F7" s="715"/>
    </row>
    <row r="8" spans="1:8" ht="18.75" x14ac:dyDescent="0.2">
      <c r="A8" s="692" t="str">
        <f>'(B3) Struktura Funksionale'!A7</f>
        <v>Nënfunksioni 1</v>
      </c>
      <c r="B8" s="692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6"/>
      <c r="G8" s="255"/>
      <c r="H8" s="256"/>
    </row>
    <row r="9" spans="1:8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52"/>
      <c r="E9" s="51">
        <v>2373</v>
      </c>
      <c r="F9" s="51">
        <v>4000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0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0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0</v>
      </c>
      <c r="E15" s="68">
        <f t="shared" ref="E15:F15" si="0">SUM(E9:E14)</f>
        <v>2373</v>
      </c>
      <c r="F15" s="68">
        <f t="shared" si="0"/>
        <v>4000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4" t="str">
        <f>'(B3) Struktura Funksionale'!A20</f>
        <v>03 Rendi dhe Siguria Publike</v>
      </c>
      <c r="B23" s="374"/>
      <c r="C23" s="374"/>
      <c r="D23" s="374"/>
      <c r="E23" s="374"/>
      <c r="F23" s="715"/>
    </row>
    <row r="24" spans="1:8" ht="18.75" x14ac:dyDescent="0.2">
      <c r="A24" s="688" t="str">
        <f>'(B3) Struktura Funksionale'!A21</f>
        <v>Nënfunksioni 3</v>
      </c>
      <c r="B24" s="688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0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0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0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8" t="str">
        <f>'(B3) Struktura Funksionale'!A25</f>
        <v>Nënfunksioni 4</v>
      </c>
      <c r="B29" s="688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0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0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0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8" t="str">
        <f>'(B3) Struktura Funksionale'!A29</f>
        <v>Nënfunksioni 5</v>
      </c>
      <c r="B34" s="688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1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0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0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4" t="str">
        <f>'(B3) Struktura Funksionale'!A33</f>
        <v>04 Çeshtjet Ekonomike</v>
      </c>
      <c r="B39" s="374"/>
      <c r="C39" s="374"/>
      <c r="D39" s="374"/>
      <c r="E39" s="374"/>
      <c r="F39" s="715"/>
    </row>
    <row r="40" spans="1:8" ht="18.75" x14ac:dyDescent="0.2">
      <c r="A40" s="688" t="str">
        <f>'(B3) Struktura Funksionale'!A34</f>
        <v>Nënfunksioni 6</v>
      </c>
      <c r="B40" s="688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0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0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0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0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0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2" t="e">
        <f t="shared" si="3"/>
        <v>#REF!</v>
      </c>
      <c r="H46" s="201" t="e">
        <f t="shared" si="3"/>
        <v>#REF!</v>
      </c>
    </row>
    <row r="47" spans="1:8" ht="18.75" x14ac:dyDescent="0.2">
      <c r="A47" s="688" t="str">
        <f>'(B3) Struktura Funksionale'!A41</f>
        <v>Nënfunksioni 7</v>
      </c>
      <c r="B47" s="688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0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0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0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0" t="str">
        <f>'(B3) Struktura Funksionale'!B45</f>
        <v>04240</v>
      </c>
      <c r="C51" s="196" t="str">
        <f>'(B3) Struktura Funksionale'!C45</f>
        <v>Menaxhimi i Infrastruktuës së ujitjes dhe kullimit</v>
      </c>
      <c r="D51" s="206">
        <f>10037+528+4763+251</f>
        <v>15579</v>
      </c>
      <c r="E51" s="207">
        <f>10134+202+4710+248+1+2</f>
        <v>15297</v>
      </c>
      <c r="F51" s="206">
        <f>3050+11082+2</f>
        <v>14134</v>
      </c>
    </row>
    <row r="52" spans="1:8" x14ac:dyDescent="0.2">
      <c r="A52" s="196" t="str">
        <f>'(B3) Struktura Funksionale'!A46</f>
        <v>Programi 7e</v>
      </c>
      <c r="B52" s="670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>
        <f>1140+60</f>
        <v>1200</v>
      </c>
      <c r="F52" s="206"/>
    </row>
    <row r="53" spans="1:8" x14ac:dyDescent="0.2">
      <c r="A53" s="196" t="str">
        <f>'(B3) Struktura Funksionale'!A47</f>
        <v>Programi 7f</v>
      </c>
      <c r="B53" s="670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15579</v>
      </c>
      <c r="E54" s="201">
        <f t="shared" ref="E54:F54" si="4">SUM(E48:E53)</f>
        <v>16497</v>
      </c>
      <c r="F54" s="201">
        <f t="shared" si="4"/>
        <v>14134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8" t="str">
        <f>'(B3) Struktura Funksionale'!A48</f>
        <v>Nënfunksioni 8</v>
      </c>
      <c r="B55" s="688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0" t="str">
        <f>'(B3) Struktura Funksionale'!B49</f>
        <v>04520</v>
      </c>
      <c r="C56" s="196" t="str">
        <f>'(B3) Struktura Funksionale'!C49</f>
        <v>Rrjeti rrugor rural</v>
      </c>
      <c r="D56" s="203">
        <f>21595+1137+2000+100+857</f>
        <v>25689</v>
      </c>
      <c r="E56" s="203">
        <f>45766+2409+2608+137+2987</f>
        <v>53907</v>
      </c>
      <c r="F56" s="203">
        <f>12376+24575+7932+33018+6586+4000</f>
        <v>88487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0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0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0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25689</v>
      </c>
      <c r="E60" s="201">
        <f t="shared" ref="E60:F60" si="5">SUM(E56:E59)</f>
        <v>53907</v>
      </c>
      <c r="F60" s="201">
        <f t="shared" si="5"/>
        <v>88487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8" t="str">
        <f>'(B3) Struktura Funksionale'!A53</f>
        <v>Nënfunksioni 9</v>
      </c>
      <c r="B61" s="688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0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0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0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0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3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4" t="str">
        <f>'(B3) Struktura Funksionale'!A58</f>
        <v>05 Mbrojtja Mjedisore</v>
      </c>
      <c r="B67" s="374"/>
      <c r="C67" s="374"/>
      <c r="D67" s="374"/>
      <c r="E67" s="374"/>
      <c r="F67" s="715"/>
    </row>
    <row r="68" spans="1:8" ht="20.25" customHeight="1" x14ac:dyDescent="0.2">
      <c r="A68" s="688" t="str">
        <f>'(B3) Struktura Funksionale'!A59</f>
        <v>Nënfunksioni 10</v>
      </c>
      <c r="B68" s="688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0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0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0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8" t="str">
        <f>'(B3) Struktura Funksionale'!A63</f>
        <v>Nënfunksioni 11</v>
      </c>
      <c r="B73" s="688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0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0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0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8" t="str">
        <f>'(B3) Struktura Funksionale'!A67</f>
        <v>Nënfunksioni 12</v>
      </c>
      <c r="B78" s="688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0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0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0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8" t="str">
        <f>'(B3) Struktura Funksionale'!A71</f>
        <v>Nënfunksioni 13</v>
      </c>
      <c r="B83" s="688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0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0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0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4" t="str">
        <f>'(B3) Struktura Funksionale'!A75</f>
        <v>06 Strehimi dhe Komoditetet e Komunitetit</v>
      </c>
      <c r="B88" s="374"/>
      <c r="C88" s="374"/>
      <c r="D88" s="374"/>
      <c r="E88" s="374"/>
      <c r="F88" s="715"/>
    </row>
    <row r="89" spans="1:8" ht="21.75" customHeight="1" x14ac:dyDescent="0.2">
      <c r="A89" s="688" t="str">
        <f>'(B3) Struktura Funksionale'!A76</f>
        <v>Nënfunksioni 14</v>
      </c>
      <c r="B89" s="688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0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0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0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8" t="str">
        <f>'(B3) Struktura Funksionale'!A80</f>
        <v>Nënfunksioni 15</v>
      </c>
      <c r="B94" s="688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0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0" t="str">
        <f>'(B3) Struktura Funksionale'!B82</f>
        <v>06260</v>
      </c>
      <c r="C96" s="196" t="str">
        <f>'(B3) Struktura Funksionale'!C82</f>
        <v>Sherbime publike vendore</v>
      </c>
      <c r="D96" s="51">
        <f>17594+876+400</f>
        <v>18870</v>
      </c>
      <c r="E96" s="51">
        <f>2430</f>
        <v>2430</v>
      </c>
      <c r="F96" s="51">
        <f>17790+4038</f>
        <v>21828</v>
      </c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0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18870</v>
      </c>
      <c r="E98" s="201">
        <f t="shared" ref="E98:F98" si="7">SUM(E95:E97)</f>
        <v>2430</v>
      </c>
      <c r="F98" s="201">
        <f t="shared" si="7"/>
        <v>21828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8" t="str">
        <f>'(B3) Struktura Funksionale'!A84</f>
        <v>Nënfunksioni 16</v>
      </c>
      <c r="B99" s="688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0" t="str">
        <f>'(B3) Struktura Funksionale'!B85</f>
        <v>06330</v>
      </c>
      <c r="C100" s="196" t="str">
        <f>'(B3) Struktura Funksionale'!C85</f>
        <v xml:space="preserve">Furnizimi me ujë </v>
      </c>
      <c r="D100" s="203"/>
      <c r="E100" s="203"/>
      <c r="F100" s="203"/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0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0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0</v>
      </c>
      <c r="E103" s="68">
        <f>SUM(E100:E102)</f>
        <v>0</v>
      </c>
      <c r="F103" s="68">
        <f>SUM(F100:F102)</f>
        <v>0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8" t="str">
        <f>'(B3) Struktura Funksionale'!A88</f>
        <v>Nënfunksioni 17</v>
      </c>
      <c r="B104" s="688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0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0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0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4" t="str">
        <f>'(B3) Struktura Funksionale'!A92</f>
        <v>07 Shëndetësia</v>
      </c>
      <c r="B109" s="374"/>
      <c r="C109" s="374"/>
      <c r="D109" s="374"/>
      <c r="E109" s="374"/>
      <c r="F109" s="715"/>
    </row>
    <row r="110" spans="1:8" ht="20.25" customHeight="1" x14ac:dyDescent="0.2">
      <c r="A110" s="688" t="str">
        <f>'(B3) Struktura Funksionale'!A93</f>
        <v>Nënfunksioni 18</v>
      </c>
      <c r="B110" s="688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0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0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0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4" t="str">
        <f>'(B3) Struktura Funksionale'!A97</f>
        <v>08 Argëtimi, Kultura dhe Feja</v>
      </c>
      <c r="B115" s="374"/>
      <c r="C115" s="374"/>
      <c r="D115" s="374"/>
      <c r="E115" s="374"/>
      <c r="F115" s="715"/>
    </row>
    <row r="116" spans="1:8" ht="21" customHeight="1" x14ac:dyDescent="0.2">
      <c r="A116" s="688" t="str">
        <f>'(B3) Struktura Funksionale'!A98</f>
        <v>Nënfunksioni 19</v>
      </c>
      <c r="B116" s="688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0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0" t="str">
        <f>'(B3) Struktura Funksionale'!B100</f>
        <v>08130</v>
      </c>
      <c r="C118" s="196" t="str">
        <f>'(B3) Struktura Funksionale'!C100</f>
        <v>Sport dhe argëtim</v>
      </c>
      <c r="D118" s="51"/>
      <c r="E118" s="51">
        <v>1389</v>
      </c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0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1389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8" t="str">
        <f>'(B3) Struktura Funksionale'!A102</f>
        <v>Nënfunksioni 20</v>
      </c>
      <c r="B121" s="688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0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>
        <v>2846</v>
      </c>
      <c r="F122" s="203">
        <f>2140+500</f>
        <v>2640</v>
      </c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0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0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0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2846</v>
      </c>
      <c r="F126" s="201">
        <f t="shared" si="8"/>
        <v>2640</v>
      </c>
    </row>
    <row r="127" spans="1:8" s="240" customFormat="1" ht="19.5" thickBot="1" x14ac:dyDescent="0.35">
      <c r="A127" s="714" t="str">
        <f>'(B3) Struktura Funksionale'!A107</f>
        <v>09 Arsimi</v>
      </c>
      <c r="B127" s="374"/>
      <c r="C127" s="374"/>
      <c r="D127" s="374"/>
      <c r="E127" s="374"/>
      <c r="F127" s="715"/>
    </row>
    <row r="128" spans="1:8" ht="20.25" customHeight="1" x14ac:dyDescent="0.2">
      <c r="A128" s="688" t="str">
        <f>'(B3) Struktura Funksionale'!A108</f>
        <v>Nënfunksioni 21</v>
      </c>
      <c r="B128" s="688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0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f>1303+68</f>
        <v>1371</v>
      </c>
      <c r="E129" s="203"/>
      <c r="F129" s="203">
        <v>2948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0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0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0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1371</v>
      </c>
      <c r="E133" s="201">
        <f t="shared" ref="E133:F133" si="9">SUM(E129:E132)</f>
        <v>0</v>
      </c>
      <c r="F133" s="201">
        <f t="shared" si="9"/>
        <v>2948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8" t="str">
        <f>'(B3) Struktura Funksionale'!A113</f>
        <v>Nënfunksioni 22</v>
      </c>
      <c r="B134" s="688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0" t="str">
        <f>'(B3) Struktura Funksionale'!B114</f>
        <v>09230</v>
      </c>
      <c r="C135" s="196" t="str">
        <f>'(B3) Struktura Funksionale'!C114</f>
        <v>Arsimi i mesëm i përgjithshëm</v>
      </c>
      <c r="D135" s="203"/>
      <c r="E135" s="203"/>
      <c r="F135" s="203"/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0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0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0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0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8" t="e">
        <f>'(B3) Struktura Funksionale'!A118</f>
        <v>#REF!</v>
      </c>
      <c r="B140" s="688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7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0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0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0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4" t="str">
        <f>'(B3) Struktura Funksionale'!A122</f>
        <v>10 Mbrojtja Sociale</v>
      </c>
      <c r="B145" s="374"/>
      <c r="C145" s="374"/>
      <c r="D145" s="374"/>
      <c r="E145" s="374"/>
      <c r="F145" s="715"/>
    </row>
    <row r="146" spans="1:8" ht="19.5" customHeight="1" x14ac:dyDescent="0.2">
      <c r="A146" s="688" t="str">
        <f>'(B3) Struktura Funksionale'!A123</f>
        <v>Nënfunksioni 23</v>
      </c>
      <c r="B146" s="688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0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0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0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8" t="str">
        <f>'(B3) Struktura Funksionale'!A127</f>
        <v>Nënfunksioni 24</v>
      </c>
      <c r="B151" s="688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0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0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0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8" t="str">
        <f>'(B3) Struktura Funksionale'!A131</f>
        <v>Nënfunksioni 25</v>
      </c>
      <c r="B156" s="688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0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0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0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8" t="str">
        <f>'(B3) Struktura Funksionale'!A135</f>
        <v>Nënfunksioni 26</v>
      </c>
      <c r="B161" s="688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0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0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0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8" t="str">
        <f>'(B3) Struktura Funksionale'!A139</f>
        <v>Nënfunksioni 27</v>
      </c>
      <c r="B166" s="688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0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0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0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8" t="str">
        <f>'(B3) Struktura Funksionale'!A143</f>
        <v>Nënfunksioni 29</v>
      </c>
      <c r="B171" s="688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0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0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0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61509</v>
      </c>
      <c r="E177" s="76">
        <f t="shared" ref="E177:F177" si="11">E15+E22+E28+E33+E38+E46+E54+E60+E66+E72+E77+E82+E87+E93+E98+E103+E108+E114+E120+E126+E133+E139+E144+E150+E155+E160+E165+E170+E175</f>
        <v>79442</v>
      </c>
      <c r="F177" s="76">
        <f t="shared" si="11"/>
        <v>134037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tPKqXwNSIMN8ke8jS/IE1bckccSNxUneIu512P8O+KMQ6zdnbOaaxAI34eRx01yoJFlIRQHCa8UKWOzdUwUiUw==" saltValue="wmUMFt0LZf/7ci+EMVYT7A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73" zoomScale="90" zoomScaleNormal="90" workbookViewId="0">
      <selection activeCell="B3" sqref="B3:B100"/>
    </sheetView>
  </sheetViews>
  <sheetFormatPr defaultColWidth="4.140625" defaultRowHeight="20.25" customHeight="1" x14ac:dyDescent="0.35"/>
  <cols>
    <col min="1" max="1" width="7" style="540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8"/>
      <c r="B1" s="257" t="s">
        <v>1617</v>
      </c>
      <c r="C1" s="191" t="s">
        <v>210</v>
      </c>
      <c r="E1" s="194"/>
    </row>
    <row r="2" spans="1:5" s="189" customFormat="1" ht="20.25" customHeight="1" x14ac:dyDescent="0.35">
      <c r="A2" s="539" t="s">
        <v>1673</v>
      </c>
      <c r="B2" s="258"/>
      <c r="C2" s="187"/>
      <c r="E2" s="195"/>
    </row>
    <row r="3" spans="1:5" ht="20.25" customHeight="1" x14ac:dyDescent="0.35">
      <c r="A3" s="537" t="s">
        <v>601</v>
      </c>
      <c r="B3" s="62" t="s">
        <v>1618</v>
      </c>
      <c r="C3" s="113" t="s">
        <v>269</v>
      </c>
    </row>
    <row r="4" spans="1:5" ht="20.25" customHeight="1" x14ac:dyDescent="0.35">
      <c r="A4" s="537" t="s">
        <v>602</v>
      </c>
      <c r="B4" s="62" t="s">
        <v>1914</v>
      </c>
      <c r="C4" s="113" t="s">
        <v>603</v>
      </c>
    </row>
    <row r="5" spans="1:5" ht="20.25" customHeight="1" x14ac:dyDescent="0.35">
      <c r="A5" s="537" t="s">
        <v>985</v>
      </c>
      <c r="B5" s="62" t="s">
        <v>1619</v>
      </c>
      <c r="C5" s="113" t="s">
        <v>267</v>
      </c>
    </row>
    <row r="6" spans="1:5" ht="20.25" customHeight="1" x14ac:dyDescent="0.35">
      <c r="A6" s="537" t="s">
        <v>986</v>
      </c>
      <c r="B6" s="62" t="s">
        <v>1620</v>
      </c>
      <c r="C6" s="113" t="s">
        <v>268</v>
      </c>
    </row>
    <row r="7" spans="1:5" ht="20.25" customHeight="1" x14ac:dyDescent="0.35">
      <c r="A7" s="652" t="s">
        <v>1910</v>
      </c>
      <c r="B7" s="653" t="s">
        <v>1912</v>
      </c>
      <c r="C7" s="654" t="s">
        <v>1911</v>
      </c>
    </row>
    <row r="8" spans="1:5" ht="20.25" customHeight="1" x14ac:dyDescent="0.35">
      <c r="A8" s="537"/>
      <c r="B8" s="62" t="s">
        <v>1621</v>
      </c>
      <c r="C8" s="113" t="s">
        <v>1019</v>
      </c>
    </row>
    <row r="9" spans="1:5" ht="20.25" customHeight="1" x14ac:dyDescent="0.35">
      <c r="A9" s="537" t="s">
        <v>1881</v>
      </c>
      <c r="B9" s="62" t="s">
        <v>1622</v>
      </c>
      <c r="C9" s="113" t="s">
        <v>1913</v>
      </c>
    </row>
    <row r="10" spans="1:5" ht="20.25" customHeight="1" x14ac:dyDescent="0.35">
      <c r="A10" s="537" t="s">
        <v>1907</v>
      </c>
      <c r="B10" s="62" t="s">
        <v>1908</v>
      </c>
      <c r="C10" s="113" t="s">
        <v>1909</v>
      </c>
    </row>
    <row r="11" spans="1:5" ht="20.25" customHeight="1" x14ac:dyDescent="0.35">
      <c r="A11" s="652" t="s">
        <v>1679</v>
      </c>
      <c r="B11" s="653" t="s">
        <v>1680</v>
      </c>
      <c r="C11" s="654" t="s">
        <v>1681</v>
      </c>
    </row>
    <row r="12" spans="1:5" ht="20.25" hidden="1" customHeight="1" x14ac:dyDescent="0.35">
      <c r="A12" s="652" t="s">
        <v>1015</v>
      </c>
      <c r="B12" s="653" t="s">
        <v>1622</v>
      </c>
      <c r="C12" s="655" t="s">
        <v>984</v>
      </c>
    </row>
    <row r="13" spans="1:5" ht="20.25" customHeight="1" x14ac:dyDescent="0.35">
      <c r="A13" s="652" t="s">
        <v>1682</v>
      </c>
      <c r="B13" s="653" t="s">
        <v>1683</v>
      </c>
      <c r="C13" s="654" t="s">
        <v>1684</v>
      </c>
    </row>
    <row r="14" spans="1:5" ht="20.25" customHeight="1" x14ac:dyDescent="0.35">
      <c r="A14" s="537" t="s">
        <v>987</v>
      </c>
      <c r="B14" s="62" t="s">
        <v>1623</v>
      </c>
      <c r="C14" s="113" t="s">
        <v>272</v>
      </c>
    </row>
    <row r="15" spans="1:5" ht="20.25" customHeight="1" x14ac:dyDescent="0.35">
      <c r="A15" s="537" t="s">
        <v>604</v>
      </c>
      <c r="B15" s="62" t="s">
        <v>1624</v>
      </c>
      <c r="C15" s="113" t="s">
        <v>605</v>
      </c>
    </row>
    <row r="16" spans="1:5" ht="20.25" customHeight="1" x14ac:dyDescent="0.35">
      <c r="A16" s="537" t="s">
        <v>615</v>
      </c>
      <c r="B16" s="62" t="s">
        <v>1625</v>
      </c>
      <c r="C16" s="113" t="s">
        <v>616</v>
      </c>
    </row>
    <row r="17" spans="1:3" ht="20.25" customHeight="1" x14ac:dyDescent="0.35">
      <c r="A17" s="537" t="s">
        <v>988</v>
      </c>
      <c r="B17" s="62" t="s">
        <v>1626</v>
      </c>
      <c r="C17" s="113" t="s">
        <v>606</v>
      </c>
    </row>
    <row r="18" spans="1:3" ht="20.25" customHeight="1" x14ac:dyDescent="0.35">
      <c r="A18" s="537" t="s">
        <v>617</v>
      </c>
      <c r="B18" s="62" t="s">
        <v>1627</v>
      </c>
      <c r="C18" s="113" t="s">
        <v>618</v>
      </c>
    </row>
    <row r="19" spans="1:3" ht="20.25" customHeight="1" x14ac:dyDescent="0.35">
      <c r="A19" s="537" t="s">
        <v>1685</v>
      </c>
      <c r="B19" s="62" t="s">
        <v>1686</v>
      </c>
      <c r="C19" s="113" t="s">
        <v>274</v>
      </c>
    </row>
    <row r="20" spans="1:3" ht="20.25" customHeight="1" x14ac:dyDescent="0.35">
      <c r="A20" s="537" t="s">
        <v>619</v>
      </c>
      <c r="B20" s="62" t="s">
        <v>1688</v>
      </c>
      <c r="C20" s="113" t="s">
        <v>275</v>
      </c>
    </row>
    <row r="21" spans="1:3" ht="20.25" customHeight="1" x14ac:dyDescent="0.35">
      <c r="A21" s="537" t="s">
        <v>1687</v>
      </c>
      <c r="B21" s="62" t="s">
        <v>1688</v>
      </c>
      <c r="C21" s="113" t="s">
        <v>275</v>
      </c>
    </row>
    <row r="22" spans="1:3" ht="20.25" hidden="1" customHeight="1" x14ac:dyDescent="0.35">
      <c r="A22" s="652" t="s">
        <v>607</v>
      </c>
      <c r="B22" s="653" t="s">
        <v>1628</v>
      </c>
      <c r="C22" s="654" t="s">
        <v>276</v>
      </c>
    </row>
    <row r="23" spans="1:3" ht="20.25" customHeight="1" x14ac:dyDescent="0.35">
      <c r="A23" s="537" t="s">
        <v>620</v>
      </c>
      <c r="B23" s="62" t="s">
        <v>1629</v>
      </c>
      <c r="C23" s="113" t="s">
        <v>621</v>
      </c>
    </row>
    <row r="24" spans="1:3" ht="20.25" customHeight="1" x14ac:dyDescent="0.35">
      <c r="A24" s="537" t="s">
        <v>622</v>
      </c>
      <c r="B24" s="62" t="s">
        <v>1630</v>
      </c>
      <c r="C24" s="113" t="s">
        <v>623</v>
      </c>
    </row>
    <row r="25" spans="1:3" ht="20.25" customHeight="1" x14ac:dyDescent="0.35">
      <c r="A25" s="652" t="s">
        <v>1689</v>
      </c>
      <c r="B25" s="653" t="s">
        <v>1690</v>
      </c>
      <c r="C25" s="654" t="s">
        <v>1691</v>
      </c>
    </row>
    <row r="26" spans="1:3" ht="20.25" customHeight="1" x14ac:dyDescent="0.35">
      <c r="A26" s="537" t="s">
        <v>1016</v>
      </c>
      <c r="B26" s="62" t="s">
        <v>1692</v>
      </c>
      <c r="C26" s="113" t="s">
        <v>1693</v>
      </c>
    </row>
    <row r="27" spans="1:3" ht="20.25" customHeight="1" x14ac:dyDescent="0.35">
      <c r="A27" s="652" t="s">
        <v>608</v>
      </c>
      <c r="B27" s="653" t="s">
        <v>1631</v>
      </c>
      <c r="C27" s="654" t="s">
        <v>278</v>
      </c>
    </row>
    <row r="28" spans="1:3" ht="20.25" customHeight="1" x14ac:dyDescent="0.35">
      <c r="A28" s="652" t="s">
        <v>609</v>
      </c>
      <c r="B28" s="653" t="s">
        <v>1632</v>
      </c>
      <c r="C28" s="654" t="s">
        <v>279</v>
      </c>
    </row>
    <row r="29" spans="1:3" ht="20.25" customHeight="1" x14ac:dyDescent="0.35">
      <c r="A29" s="537" t="s">
        <v>1694</v>
      </c>
      <c r="B29" s="62" t="s">
        <v>1695</v>
      </c>
      <c r="C29" s="113" t="s">
        <v>1696</v>
      </c>
    </row>
    <row r="30" spans="1:3" ht="20.25" customHeight="1" x14ac:dyDescent="0.35">
      <c r="A30" s="537" t="s">
        <v>624</v>
      </c>
      <c r="B30" s="62" t="s">
        <v>1633</v>
      </c>
      <c r="C30" s="113" t="s">
        <v>625</v>
      </c>
    </row>
    <row r="31" spans="1:3" ht="20.25" customHeight="1" x14ac:dyDescent="0.35">
      <c r="A31" s="537" t="s">
        <v>1697</v>
      </c>
      <c r="B31" s="62" t="s">
        <v>1698</v>
      </c>
      <c r="C31" s="113" t="s">
        <v>1699</v>
      </c>
    </row>
    <row r="32" spans="1:3" ht="20.25" customHeight="1" x14ac:dyDescent="0.35">
      <c r="A32" s="652" t="s">
        <v>610</v>
      </c>
      <c r="B32" s="653" t="s">
        <v>1634</v>
      </c>
      <c r="C32" s="654" t="s">
        <v>281</v>
      </c>
    </row>
    <row r="33" spans="1:3" ht="20.25" customHeight="1" x14ac:dyDescent="0.35">
      <c r="A33" s="652" t="s">
        <v>611</v>
      </c>
      <c r="B33" s="653" t="s">
        <v>1635</v>
      </c>
      <c r="C33" s="654" t="s">
        <v>282</v>
      </c>
    </row>
    <row r="34" spans="1:3" ht="20.25" customHeight="1" x14ac:dyDescent="0.35">
      <c r="A34" s="537" t="s">
        <v>989</v>
      </c>
      <c r="B34" s="62" t="s">
        <v>1882</v>
      </c>
      <c r="C34" s="113" t="s">
        <v>1884</v>
      </c>
    </row>
    <row r="35" spans="1:3" ht="20.25" customHeight="1" x14ac:dyDescent="0.35">
      <c r="A35" s="537" t="s">
        <v>990</v>
      </c>
      <c r="B35" s="62" t="s">
        <v>1883</v>
      </c>
      <c r="C35" s="113" t="s">
        <v>1885</v>
      </c>
    </row>
    <row r="36" spans="1:3" ht="20.25" customHeight="1" x14ac:dyDescent="0.35">
      <c r="A36" s="537" t="s">
        <v>626</v>
      </c>
      <c r="B36" s="62" t="s">
        <v>1636</v>
      </c>
      <c r="C36" s="113" t="s">
        <v>627</v>
      </c>
    </row>
    <row r="37" spans="1:3" ht="20.25" customHeight="1" x14ac:dyDescent="0.35">
      <c r="A37" s="537" t="s">
        <v>1700</v>
      </c>
      <c r="B37" s="62" t="s">
        <v>1886</v>
      </c>
      <c r="C37" s="113" t="s">
        <v>1887</v>
      </c>
    </row>
    <row r="38" spans="1:3" ht="20.25" customHeight="1" x14ac:dyDescent="0.35">
      <c r="A38" s="652" t="s">
        <v>991</v>
      </c>
      <c r="B38" s="653" t="s">
        <v>1637</v>
      </c>
      <c r="C38" s="654" t="s">
        <v>286</v>
      </c>
    </row>
    <row r="39" spans="1:3" ht="20.25" customHeight="1" x14ac:dyDescent="0.35">
      <c r="A39" s="537" t="s">
        <v>992</v>
      </c>
      <c r="B39" s="62" t="s">
        <v>1638</v>
      </c>
      <c r="C39" s="113" t="s">
        <v>89</v>
      </c>
    </row>
    <row r="40" spans="1:3" ht="20.25" customHeight="1" x14ac:dyDescent="0.35">
      <c r="A40" s="537" t="s">
        <v>628</v>
      </c>
      <c r="B40" s="62" t="s">
        <v>1639</v>
      </c>
      <c r="C40" s="113" t="s">
        <v>629</v>
      </c>
    </row>
    <row r="41" spans="1:3" ht="20.25" customHeight="1" x14ac:dyDescent="0.35">
      <c r="A41" s="537" t="s">
        <v>1701</v>
      </c>
      <c r="B41" s="62" t="s">
        <v>1702</v>
      </c>
      <c r="C41" s="113" t="s">
        <v>287</v>
      </c>
    </row>
    <row r="42" spans="1:3" ht="20.25" customHeight="1" x14ac:dyDescent="0.35">
      <c r="A42" s="537" t="s">
        <v>1703</v>
      </c>
      <c r="B42" s="62" t="s">
        <v>1888</v>
      </c>
      <c r="C42" s="113" t="s">
        <v>1889</v>
      </c>
    </row>
    <row r="43" spans="1:3" ht="20.25" customHeight="1" x14ac:dyDescent="0.35">
      <c r="A43" s="652" t="s">
        <v>612</v>
      </c>
      <c r="B43" s="653" t="s">
        <v>1715</v>
      </c>
      <c r="C43" s="654" t="s">
        <v>289</v>
      </c>
    </row>
    <row r="44" spans="1:3" ht="20.25" customHeight="1" x14ac:dyDescent="0.35">
      <c r="A44" s="537" t="s">
        <v>630</v>
      </c>
      <c r="B44" s="62" t="s">
        <v>1640</v>
      </c>
      <c r="C44" s="113" t="s">
        <v>631</v>
      </c>
    </row>
    <row r="45" spans="1:3" ht="20.25" customHeight="1" x14ac:dyDescent="0.35">
      <c r="A45" s="537" t="s">
        <v>632</v>
      </c>
      <c r="B45" s="62" t="s">
        <v>1641</v>
      </c>
      <c r="C45" s="113" t="s">
        <v>633</v>
      </c>
    </row>
    <row r="46" spans="1:3" ht="20.25" customHeight="1" x14ac:dyDescent="0.35">
      <c r="A46" s="537" t="s">
        <v>1704</v>
      </c>
      <c r="B46" s="62" t="s">
        <v>1641</v>
      </c>
      <c r="C46" s="113" t="s">
        <v>290</v>
      </c>
    </row>
    <row r="47" spans="1:3" ht="20.25" customHeight="1" x14ac:dyDescent="0.35">
      <c r="A47" s="537" t="s">
        <v>634</v>
      </c>
      <c r="B47" s="62" t="s">
        <v>1642</v>
      </c>
      <c r="C47" s="113" t="s">
        <v>635</v>
      </c>
    </row>
    <row r="48" spans="1:3" ht="20.25" customHeight="1" x14ac:dyDescent="0.35">
      <c r="A48" s="537" t="s">
        <v>1705</v>
      </c>
      <c r="B48" s="62" t="s">
        <v>1890</v>
      </c>
      <c r="C48" s="113" t="s">
        <v>291</v>
      </c>
    </row>
    <row r="49" spans="1:3" ht="20.25" customHeight="1" x14ac:dyDescent="0.35">
      <c r="A49" s="537" t="s">
        <v>636</v>
      </c>
      <c r="B49" s="62" t="s">
        <v>1643</v>
      </c>
      <c r="C49" s="113" t="s">
        <v>637</v>
      </c>
    </row>
    <row r="50" spans="1:3" ht="20.25" customHeight="1" x14ac:dyDescent="0.35">
      <c r="A50" s="537" t="s">
        <v>993</v>
      </c>
      <c r="B50" s="62" t="s">
        <v>1644</v>
      </c>
      <c r="C50" s="113" t="s">
        <v>292</v>
      </c>
    </row>
    <row r="51" spans="1:3" ht="20.25" customHeight="1" x14ac:dyDescent="0.35">
      <c r="A51" s="537" t="s">
        <v>638</v>
      </c>
      <c r="B51" s="62" t="s">
        <v>1640</v>
      </c>
      <c r="C51" s="113" t="s">
        <v>639</v>
      </c>
    </row>
    <row r="52" spans="1:3" ht="20.25" customHeight="1" x14ac:dyDescent="0.35">
      <c r="A52" s="537" t="s">
        <v>994</v>
      </c>
      <c r="B52" s="62" t="s">
        <v>1706</v>
      </c>
      <c r="C52" s="113" t="s">
        <v>1707</v>
      </c>
    </row>
    <row r="53" spans="1:3" ht="20.25" customHeight="1" x14ac:dyDescent="0.35">
      <c r="A53" s="652" t="s">
        <v>995</v>
      </c>
      <c r="B53" s="653" t="s">
        <v>1708</v>
      </c>
      <c r="C53" s="654" t="s">
        <v>294</v>
      </c>
    </row>
    <row r="54" spans="1:3" ht="20.25" customHeight="1" x14ac:dyDescent="0.35">
      <c r="A54" s="537" t="s">
        <v>640</v>
      </c>
      <c r="B54" s="62" t="s">
        <v>1645</v>
      </c>
      <c r="C54" s="113" t="s">
        <v>641</v>
      </c>
    </row>
    <row r="55" spans="1:3" ht="20.25" customHeight="1" x14ac:dyDescent="0.35">
      <c r="A55" s="537" t="s">
        <v>642</v>
      </c>
      <c r="B55" s="62" t="s">
        <v>1928</v>
      </c>
      <c r="C55" s="113" t="s">
        <v>643</v>
      </c>
    </row>
    <row r="56" spans="1:3" ht="20.25" customHeight="1" x14ac:dyDescent="0.35">
      <c r="A56" s="537" t="s">
        <v>996</v>
      </c>
      <c r="B56" s="62" t="s">
        <v>1892</v>
      </c>
      <c r="C56" s="113" t="s">
        <v>1893</v>
      </c>
    </row>
    <row r="57" spans="1:3" ht="20.25" customHeight="1" x14ac:dyDescent="0.35">
      <c r="A57" s="652" t="s">
        <v>997</v>
      </c>
      <c r="B57" s="653" t="s">
        <v>1646</v>
      </c>
      <c r="C57" s="654" t="s">
        <v>90</v>
      </c>
    </row>
    <row r="58" spans="1:3" ht="20.25" customHeight="1" x14ac:dyDescent="0.35">
      <c r="A58" s="537" t="s">
        <v>644</v>
      </c>
      <c r="B58" s="62" t="s">
        <v>1647</v>
      </c>
      <c r="C58" s="113" t="s">
        <v>645</v>
      </c>
    </row>
    <row r="59" spans="1:3" ht="20.25" customHeight="1" x14ac:dyDescent="0.35">
      <c r="A59" s="537" t="s">
        <v>998</v>
      </c>
      <c r="B59" s="62" t="s">
        <v>1648</v>
      </c>
      <c r="C59" s="113" t="s">
        <v>296</v>
      </c>
    </row>
    <row r="60" spans="1:3" ht="20.25" customHeight="1" x14ac:dyDescent="0.35">
      <c r="A60" s="537" t="s">
        <v>999</v>
      </c>
      <c r="B60" s="62" t="s">
        <v>1709</v>
      </c>
      <c r="C60" s="113" t="s">
        <v>297</v>
      </c>
    </row>
    <row r="61" spans="1:3" ht="20.25" customHeight="1" x14ac:dyDescent="0.35">
      <c r="A61" s="537" t="s">
        <v>646</v>
      </c>
      <c r="B61" s="62" t="s">
        <v>1649</v>
      </c>
      <c r="C61" s="113" t="s">
        <v>647</v>
      </c>
    </row>
    <row r="62" spans="1:3" ht="20.25" customHeight="1" x14ac:dyDescent="0.35">
      <c r="A62" s="537" t="s">
        <v>1710</v>
      </c>
      <c r="B62" s="62" t="s">
        <v>1894</v>
      </c>
      <c r="C62" s="113" t="s">
        <v>647</v>
      </c>
    </row>
    <row r="63" spans="1:3" ht="20.25" customHeight="1" x14ac:dyDescent="0.35">
      <c r="A63" s="537" t="s">
        <v>648</v>
      </c>
      <c r="B63" s="62" t="s">
        <v>1650</v>
      </c>
      <c r="C63" s="113" t="s">
        <v>299</v>
      </c>
    </row>
    <row r="64" spans="1:3" ht="20.25" customHeight="1" x14ac:dyDescent="0.35">
      <c r="A64" s="537" t="s">
        <v>1000</v>
      </c>
      <c r="B64" s="62" t="s">
        <v>1895</v>
      </c>
      <c r="C64" s="113" t="s">
        <v>299</v>
      </c>
    </row>
    <row r="65" spans="1:3" ht="20.25" customHeight="1" x14ac:dyDescent="0.35">
      <c r="A65" s="537" t="s">
        <v>649</v>
      </c>
      <c r="B65" s="62" t="s">
        <v>1651</v>
      </c>
      <c r="C65" s="113" t="s">
        <v>650</v>
      </c>
    </row>
    <row r="66" spans="1:3" ht="20.25" customHeight="1" x14ac:dyDescent="0.35">
      <c r="A66" s="537" t="s">
        <v>651</v>
      </c>
      <c r="B66" s="62" t="s">
        <v>1896</v>
      </c>
      <c r="C66" s="113" t="s">
        <v>300</v>
      </c>
    </row>
    <row r="67" spans="1:3" ht="20.25" customHeight="1" x14ac:dyDescent="0.35">
      <c r="A67" s="537" t="s">
        <v>1001</v>
      </c>
      <c r="B67" s="62" t="s">
        <v>1896</v>
      </c>
      <c r="C67" s="113" t="s">
        <v>300</v>
      </c>
    </row>
    <row r="68" spans="1:3" ht="20.25" customHeight="1" x14ac:dyDescent="0.35">
      <c r="A68" s="537" t="s">
        <v>652</v>
      </c>
      <c r="B68" s="62" t="s">
        <v>1897</v>
      </c>
      <c r="C68" s="113" t="s">
        <v>653</v>
      </c>
    </row>
    <row r="69" spans="1:3" ht="20.25" customHeight="1" x14ac:dyDescent="0.35">
      <c r="A69" s="537" t="s">
        <v>654</v>
      </c>
      <c r="B69" s="62" t="s">
        <v>1652</v>
      </c>
      <c r="C69" s="113" t="s">
        <v>655</v>
      </c>
    </row>
    <row r="70" spans="1:3" ht="20.25" customHeight="1" x14ac:dyDescent="0.35">
      <c r="A70" s="652" t="s">
        <v>1002</v>
      </c>
      <c r="B70" s="653" t="s">
        <v>1653</v>
      </c>
      <c r="C70" s="654" t="s">
        <v>301</v>
      </c>
    </row>
    <row r="71" spans="1:3" ht="20.25" customHeight="1" x14ac:dyDescent="0.35">
      <c r="A71" s="537" t="s">
        <v>1711</v>
      </c>
      <c r="B71" s="62" t="s">
        <v>1898</v>
      </c>
      <c r="C71" s="113" t="s">
        <v>302</v>
      </c>
    </row>
    <row r="72" spans="1:3" ht="20.25" customHeight="1" x14ac:dyDescent="0.35">
      <c r="A72" s="537" t="s">
        <v>656</v>
      </c>
      <c r="B72" s="62" t="s">
        <v>1654</v>
      </c>
      <c r="C72" s="113" t="s">
        <v>657</v>
      </c>
    </row>
    <row r="73" spans="1:3" ht="20.25" customHeight="1" x14ac:dyDescent="0.35">
      <c r="A73" s="537" t="s">
        <v>1003</v>
      </c>
      <c r="B73" s="62" t="s">
        <v>1900</v>
      </c>
      <c r="C73" s="113" t="s">
        <v>1901</v>
      </c>
    </row>
    <row r="74" spans="1:3" ht="20.25" customHeight="1" x14ac:dyDescent="0.35">
      <c r="A74" s="652" t="s">
        <v>1004</v>
      </c>
      <c r="B74" s="653" t="s">
        <v>1655</v>
      </c>
      <c r="C74" s="654" t="s">
        <v>304</v>
      </c>
    </row>
    <row r="75" spans="1:3" ht="20.25" customHeight="1" x14ac:dyDescent="0.35">
      <c r="A75" s="652" t="s">
        <v>1005</v>
      </c>
      <c r="B75" s="653" t="s">
        <v>1672</v>
      </c>
      <c r="C75" s="654" t="s">
        <v>305</v>
      </c>
    </row>
    <row r="76" spans="1:3" ht="20.25" customHeight="1" x14ac:dyDescent="0.35">
      <c r="A76" s="537" t="s">
        <v>658</v>
      </c>
      <c r="B76" s="62" t="s">
        <v>1656</v>
      </c>
      <c r="C76" s="113" t="s">
        <v>659</v>
      </c>
    </row>
    <row r="77" spans="1:3" ht="20.25" customHeight="1" x14ac:dyDescent="0.35">
      <c r="A77" s="537" t="s">
        <v>660</v>
      </c>
      <c r="B77" s="62" t="s">
        <v>1657</v>
      </c>
      <c r="C77" s="113" t="s">
        <v>661</v>
      </c>
    </row>
    <row r="78" spans="1:3" ht="20.25" customHeight="1" x14ac:dyDescent="0.35">
      <c r="A78" s="537" t="s">
        <v>1712</v>
      </c>
      <c r="B78" s="62" t="s">
        <v>1902</v>
      </c>
      <c r="C78" s="113" t="s">
        <v>1713</v>
      </c>
    </row>
    <row r="79" spans="1:3" ht="20.25" customHeight="1" x14ac:dyDescent="0.35">
      <c r="A79" s="652" t="s">
        <v>613</v>
      </c>
      <c r="B79" s="653" t="s">
        <v>1658</v>
      </c>
      <c r="C79" s="654" t="s">
        <v>307</v>
      </c>
    </row>
    <row r="80" spans="1:3" ht="20.25" customHeight="1" x14ac:dyDescent="0.35">
      <c r="A80" s="652" t="s">
        <v>614</v>
      </c>
      <c r="B80" s="653" t="s">
        <v>1659</v>
      </c>
      <c r="C80" s="654" t="s">
        <v>308</v>
      </c>
    </row>
    <row r="81" spans="1:3" ht="20.25" customHeight="1" x14ac:dyDescent="0.35">
      <c r="A81" s="537" t="s">
        <v>662</v>
      </c>
      <c r="B81" s="62" t="s">
        <v>1929</v>
      </c>
      <c r="C81" s="113" t="s">
        <v>663</v>
      </c>
    </row>
    <row r="82" spans="1:3" ht="20.25" customHeight="1" x14ac:dyDescent="0.35">
      <c r="A82" s="656" t="s">
        <v>1716</v>
      </c>
      <c r="B82" s="657" t="s">
        <v>1717</v>
      </c>
      <c r="C82" s="658" t="s">
        <v>1722</v>
      </c>
    </row>
    <row r="83" spans="1:3" ht="20.25" customHeight="1" x14ac:dyDescent="0.35">
      <c r="A83" s="652" t="s">
        <v>1671</v>
      </c>
      <c r="B83" s="653" t="s">
        <v>1660</v>
      </c>
      <c r="C83" s="654" t="s">
        <v>309</v>
      </c>
    </row>
    <row r="84" spans="1:3" ht="20.25" customHeight="1" x14ac:dyDescent="0.35">
      <c r="A84" s="537" t="s">
        <v>1006</v>
      </c>
      <c r="B84" s="62" t="s">
        <v>1718</v>
      </c>
      <c r="C84" s="113" t="s">
        <v>310</v>
      </c>
    </row>
    <row r="85" spans="1:3" ht="20.25" customHeight="1" x14ac:dyDescent="0.35">
      <c r="A85" s="652" t="s">
        <v>676</v>
      </c>
      <c r="B85" s="653" t="s">
        <v>1661</v>
      </c>
      <c r="C85" s="654" t="s">
        <v>677</v>
      </c>
    </row>
    <row r="86" spans="1:3" ht="20.25" customHeight="1" x14ac:dyDescent="0.35">
      <c r="A86" s="652" t="s">
        <v>1007</v>
      </c>
      <c r="B86" s="653" t="s">
        <v>1662</v>
      </c>
      <c r="C86" s="654" t="s">
        <v>311</v>
      </c>
    </row>
    <row r="87" spans="1:3" ht="20.25" customHeight="1" x14ac:dyDescent="0.35">
      <c r="A87" s="537">
        <v>10</v>
      </c>
      <c r="B87" s="62" t="s">
        <v>1663</v>
      </c>
      <c r="C87" s="113" t="s">
        <v>664</v>
      </c>
    </row>
    <row r="88" spans="1:3" ht="20.25" customHeight="1" x14ac:dyDescent="0.35">
      <c r="A88" s="537" t="s">
        <v>665</v>
      </c>
      <c r="B88" s="62" t="s">
        <v>1919</v>
      </c>
      <c r="C88" s="113" t="s">
        <v>666</v>
      </c>
    </row>
    <row r="89" spans="1:3" ht="20.25" customHeight="1" x14ac:dyDescent="0.35">
      <c r="A89" s="537" t="s">
        <v>1008</v>
      </c>
      <c r="B89" s="62" t="s">
        <v>1903</v>
      </c>
      <c r="C89" s="113" t="s">
        <v>312</v>
      </c>
    </row>
    <row r="90" spans="1:3" ht="20.25" customHeight="1" x14ac:dyDescent="0.35">
      <c r="A90" s="537" t="s">
        <v>667</v>
      </c>
      <c r="B90" s="62" t="s">
        <v>1664</v>
      </c>
      <c r="C90" s="113" t="s">
        <v>668</v>
      </c>
    </row>
    <row r="91" spans="1:3" ht="20.25" customHeight="1" x14ac:dyDescent="0.35">
      <c r="A91" s="537" t="s">
        <v>1009</v>
      </c>
      <c r="B91" s="62" t="s">
        <v>1665</v>
      </c>
      <c r="C91" s="113" t="s">
        <v>157</v>
      </c>
    </row>
    <row r="92" spans="1:3" ht="20.25" customHeight="1" x14ac:dyDescent="0.35">
      <c r="A92" s="537" t="s">
        <v>669</v>
      </c>
      <c r="B92" s="62" t="s">
        <v>1904</v>
      </c>
      <c r="C92" s="113" t="s">
        <v>670</v>
      </c>
    </row>
    <row r="93" spans="1:3" ht="20.25" customHeight="1" x14ac:dyDescent="0.35">
      <c r="A93" s="537" t="s">
        <v>1010</v>
      </c>
      <c r="B93" s="62" t="s">
        <v>1666</v>
      </c>
      <c r="C93" s="113" t="s">
        <v>313</v>
      </c>
    </row>
    <row r="94" spans="1:3" ht="20.25" customHeight="1" x14ac:dyDescent="0.35">
      <c r="A94" s="537" t="s">
        <v>1011</v>
      </c>
      <c r="B94" s="653" t="s">
        <v>1667</v>
      </c>
      <c r="C94" s="654" t="s">
        <v>314</v>
      </c>
    </row>
    <row r="95" spans="1:3" ht="20.25" customHeight="1" x14ac:dyDescent="0.35">
      <c r="A95" s="537" t="s">
        <v>671</v>
      </c>
      <c r="B95" s="62" t="s">
        <v>1668</v>
      </c>
      <c r="C95" s="113" t="s">
        <v>672</v>
      </c>
    </row>
    <row r="96" spans="1:3" ht="20.25" customHeight="1" x14ac:dyDescent="0.35">
      <c r="A96" s="537" t="s">
        <v>1012</v>
      </c>
      <c r="B96" s="62" t="s">
        <v>1905</v>
      </c>
      <c r="C96" s="113" t="s">
        <v>315</v>
      </c>
    </row>
    <row r="97" spans="1:3" ht="20.25" customHeight="1" x14ac:dyDescent="0.35">
      <c r="A97" s="537" t="s">
        <v>673</v>
      </c>
      <c r="B97" s="62" t="s">
        <v>1669</v>
      </c>
      <c r="C97" s="113" t="s">
        <v>316</v>
      </c>
    </row>
    <row r="98" spans="1:3" ht="20.25" customHeight="1" x14ac:dyDescent="0.35">
      <c r="A98" s="537" t="s">
        <v>1906</v>
      </c>
      <c r="B98" s="62" t="s">
        <v>1669</v>
      </c>
      <c r="C98" s="113" t="s">
        <v>316</v>
      </c>
    </row>
    <row r="99" spans="1:3" ht="20.25" customHeight="1" x14ac:dyDescent="0.35">
      <c r="A99" s="652" t="s">
        <v>674</v>
      </c>
      <c r="B99" s="653" t="s">
        <v>1670</v>
      </c>
      <c r="C99" s="654" t="s">
        <v>675</v>
      </c>
    </row>
    <row r="100" spans="1:3" ht="20.25" customHeight="1" x14ac:dyDescent="0.35">
      <c r="A100" s="652" t="s">
        <v>1013</v>
      </c>
      <c r="B100" s="653" t="s">
        <v>1670</v>
      </c>
      <c r="C100" s="654" t="s">
        <v>317</v>
      </c>
    </row>
  </sheetData>
  <sheetProtection algorithmName="SHA-512" hashValue="4Y/bnvmTEqRhaqryJUEJ5V+ZXZ9HDoopyLoIKc5rShDuld7S2QbDjIyCFHasAovuueRmk9x4V8SDGHok5rn6EA==" saltValue="1N0N+rUHcEz4hGoxq5goGw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52" zoomScaleNormal="100" workbookViewId="0">
      <selection activeCell="F76" sqref="F76:F77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57" t="str">
        <f>'(G1) Fjalori'!A215</f>
        <v>(C2) VLERËSIMI I BURIMEVE BUXHETORE</v>
      </c>
      <c r="B3" s="858"/>
      <c r="C3" s="858"/>
      <c r="D3" s="858"/>
      <c r="E3" s="858"/>
      <c r="F3" s="859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</row>
    <row r="6" spans="1:6" s="226" customFormat="1" ht="26.25" customHeight="1" x14ac:dyDescent="0.25">
      <c r="A6" s="878" t="str">
        <f>'(G1) Fjalori'!A217</f>
        <v>Lloji i të ardhurava</v>
      </c>
      <c r="B6" s="879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74" t="str">
        <f>'(G1) Fjalori'!A218</f>
        <v>TË ARDHURA NGA BURIMET E VETA</v>
      </c>
      <c r="B7" s="882"/>
      <c r="C7" s="463" t="s">
        <v>838</v>
      </c>
      <c r="D7" s="440">
        <f>D8+D22+D28+D70</f>
        <v>119400</v>
      </c>
      <c r="E7" s="440">
        <f>E8+E22+E28+E70</f>
        <v>117869</v>
      </c>
      <c r="F7" s="718">
        <f>F8+F22+F28+F70</f>
        <v>151065</v>
      </c>
    </row>
    <row r="8" spans="1:6" s="221" customFormat="1" ht="18.75" x14ac:dyDescent="0.25">
      <c r="A8" s="883" t="str">
        <f>'(G1) Fjalori'!A219</f>
        <v>TË ARDHURA NGA TAKSAT LOKALE</v>
      </c>
      <c r="B8" s="884"/>
      <c r="C8" s="464" t="s">
        <v>842</v>
      </c>
      <c r="D8" s="441">
        <f>D9+D10+D15+D16+D17+D18+D19+D20+D21</f>
        <v>28580</v>
      </c>
      <c r="E8" s="441">
        <f t="shared" ref="E8:F8" si="0">E9+E10+E15+E16+E17+E18+E19+E20+E21</f>
        <v>24707</v>
      </c>
      <c r="F8" s="719">
        <f t="shared" si="0"/>
        <v>40101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>
        <v>2073</v>
      </c>
      <c r="E9" s="397">
        <v>1046</v>
      </c>
      <c r="F9" s="397">
        <v>2100</v>
      </c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14291</v>
      </c>
      <c r="E10" s="396">
        <f t="shared" ref="E10:F10" si="1">SUM(E11:E14)</f>
        <v>11880</v>
      </c>
      <c r="F10" s="396">
        <f t="shared" si="1"/>
        <v>24101</v>
      </c>
    </row>
    <row r="11" spans="1:6" s="221" customFormat="1" x14ac:dyDescent="0.2">
      <c r="A11" s="872" t="str">
        <f>'(G1) Fjalori'!A222</f>
        <v>Taksa mbi ndërtesën</v>
      </c>
      <c r="B11" s="873"/>
      <c r="C11" s="402" t="s">
        <v>862</v>
      </c>
      <c r="D11" s="227">
        <v>11344</v>
      </c>
      <c r="E11" s="227">
        <v>8914</v>
      </c>
      <c r="F11" s="227">
        <v>17451</v>
      </c>
    </row>
    <row r="12" spans="1:6" s="221" customFormat="1" x14ac:dyDescent="0.2">
      <c r="A12" s="872" t="str">
        <f>'(G1) Fjalori'!A223</f>
        <v>Taksa mbi tokën bujqësore</v>
      </c>
      <c r="B12" s="873"/>
      <c r="C12" s="248" t="s">
        <v>863</v>
      </c>
      <c r="D12" s="227">
        <v>2267</v>
      </c>
      <c r="E12" s="227">
        <v>1393</v>
      </c>
      <c r="F12" s="227">
        <v>5300</v>
      </c>
    </row>
    <row r="13" spans="1:6" s="221" customFormat="1" x14ac:dyDescent="0.2">
      <c r="A13" s="872" t="str">
        <f>'(G1) Fjalori'!A224</f>
        <v>Taksa mbi truallin</v>
      </c>
      <c r="B13" s="873"/>
      <c r="C13" s="248" t="s">
        <v>864</v>
      </c>
      <c r="D13" s="227">
        <v>463</v>
      </c>
      <c r="E13" s="227">
        <v>814</v>
      </c>
      <c r="F13" s="227">
        <v>850</v>
      </c>
    </row>
    <row r="14" spans="1:6" s="221" customFormat="1" x14ac:dyDescent="0.2">
      <c r="A14" s="872" t="str">
        <f>'(G1) Fjalori'!A225</f>
        <v>Taksa mbi transaksionet e pasurisë</v>
      </c>
      <c r="B14" s="873"/>
      <c r="C14" s="248" t="s">
        <v>865</v>
      </c>
      <c r="D14" s="227">
        <v>217</v>
      </c>
      <c r="E14" s="227">
        <v>759</v>
      </c>
      <c r="F14" s="227">
        <v>500</v>
      </c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>
        <v>513</v>
      </c>
      <c r="E15" s="397">
        <v>272</v>
      </c>
      <c r="F15" s="397">
        <v>3000</v>
      </c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>
        <v>10952</v>
      </c>
      <c r="E16" s="397">
        <v>10468</v>
      </c>
      <c r="F16" s="397">
        <v>10000</v>
      </c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>
        <v>751</v>
      </c>
      <c r="E17" s="397">
        <v>1041</v>
      </c>
      <c r="F17" s="397">
        <v>900</v>
      </c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7" t="s">
        <v>965</v>
      </c>
      <c r="C19" s="396" t="s">
        <v>859</v>
      </c>
      <c r="D19" s="397"/>
      <c r="E19" s="397"/>
      <c r="F19" s="397"/>
    </row>
    <row r="20" spans="1:6" s="221" customFormat="1" x14ac:dyDescent="0.25">
      <c r="A20" s="396" t="str">
        <f>'(G1) Fjalori'!A231</f>
        <v>Taksa e përkohëshme 1</v>
      </c>
      <c r="B20" s="787" t="s">
        <v>966</v>
      </c>
      <c r="C20" s="396" t="s">
        <v>860</v>
      </c>
      <c r="D20" s="397"/>
      <c r="E20" s="397"/>
      <c r="F20" s="397"/>
    </row>
    <row r="21" spans="1:6" s="221" customFormat="1" x14ac:dyDescent="0.25">
      <c r="A21" s="396" t="str">
        <f>'(G1) Fjalori'!A232</f>
        <v>Taksa e përkohëshme 2</v>
      </c>
      <c r="B21" s="787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83" t="str">
        <f>'(G1) Fjalori'!A233</f>
        <v>TË ARDHURA NGA TAKSAT E NDARA (GRANTE)</v>
      </c>
      <c r="B22" s="885"/>
      <c r="C22" s="502" t="s">
        <v>843</v>
      </c>
      <c r="D22" s="441">
        <f>SUM(D23:D27)</f>
        <v>17508</v>
      </c>
      <c r="E22" s="441">
        <f t="shared" ref="E22:F22" si="2">SUM(E23:E27)</f>
        <v>22353</v>
      </c>
      <c r="F22" s="441">
        <f t="shared" si="2"/>
        <v>17600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/>
      <c r="E23" s="397">
        <v>302</v>
      </c>
      <c r="F23" s="397"/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>
        <v>17468</v>
      </c>
      <c r="E24" s="397">
        <v>22051</v>
      </c>
      <c r="F24" s="397">
        <v>17600</v>
      </c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>
        <v>40</v>
      </c>
      <c r="E25" s="397"/>
      <c r="F25" s="397"/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/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83" t="str">
        <f>'(G1) Fjalori'!A239</f>
        <v>TË ARDHURA NGA TARIFA VENDORE</v>
      </c>
      <c r="B28" s="885"/>
      <c r="C28" s="502" t="s">
        <v>844</v>
      </c>
      <c r="D28" s="441">
        <f>D29+D33+D34+D38+D42+D56+D66+D67+D68+D69</f>
        <v>59035</v>
      </c>
      <c r="E28" s="441">
        <f>E29+E33+E34+E38+E42+E56+E66+E67+E68+E69</f>
        <v>40682</v>
      </c>
      <c r="F28" s="441">
        <f>F29+F33+F34+F38+F42+F56+F66+F67+F68+F69</f>
        <v>83164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12415</v>
      </c>
      <c r="E29" s="396">
        <f t="shared" ref="E29:F29" si="3">SUM(E30:E32)</f>
        <v>15159</v>
      </c>
      <c r="F29" s="396">
        <f t="shared" si="3"/>
        <v>19050</v>
      </c>
    </row>
    <row r="30" spans="1:6" s="221" customFormat="1" x14ac:dyDescent="0.2">
      <c r="A30" s="872" t="str">
        <f>'(G1) Fjalori'!A241</f>
        <v>Tarifa e pastrimit për familjet</v>
      </c>
      <c r="B30" s="873"/>
      <c r="C30" s="248" t="s">
        <v>903</v>
      </c>
      <c r="D30" s="227">
        <v>1310</v>
      </c>
      <c r="E30" s="227">
        <v>3044</v>
      </c>
      <c r="F30" s="227">
        <v>6500</v>
      </c>
    </row>
    <row r="31" spans="1:6" s="221" customFormat="1" x14ac:dyDescent="0.2">
      <c r="A31" s="872" t="str">
        <f>'(G1) Fjalori'!A242</f>
        <v>Tarifa e pastrimit për institucionet</v>
      </c>
      <c r="B31" s="873"/>
      <c r="C31" s="248" t="s">
        <v>904</v>
      </c>
      <c r="D31" s="227">
        <v>1915</v>
      </c>
      <c r="E31" s="227">
        <v>1980</v>
      </c>
      <c r="F31" s="227">
        <v>2400</v>
      </c>
    </row>
    <row r="32" spans="1:6" s="221" customFormat="1" x14ac:dyDescent="0.2">
      <c r="A32" s="872" t="str">
        <f>'(G1) Fjalori'!A243</f>
        <v>Tarifa e pastrimit për biznesin</v>
      </c>
      <c r="B32" s="873"/>
      <c r="C32" s="248" t="s">
        <v>905</v>
      </c>
      <c r="D32" s="227">
        <v>9190</v>
      </c>
      <c r="E32" s="227">
        <v>10135</v>
      </c>
      <c r="F32" s="227">
        <v>10150</v>
      </c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2608</v>
      </c>
      <c r="E34" s="396">
        <f t="shared" ref="E34:F34" si="4">SUM(E35:E37)</f>
        <v>1813</v>
      </c>
      <c r="F34" s="396">
        <f t="shared" si="4"/>
        <v>4690</v>
      </c>
    </row>
    <row r="35" spans="1:6" s="221" customFormat="1" x14ac:dyDescent="0.2">
      <c r="A35" s="872" t="str">
        <f>'(G1) Fjalori'!A246</f>
        <v>Tarifa për ndriçimin publik nga familjet</v>
      </c>
      <c r="B35" s="873"/>
      <c r="C35" s="248" t="s">
        <v>906</v>
      </c>
      <c r="D35" s="227">
        <v>514</v>
      </c>
      <c r="E35" s="227">
        <v>323</v>
      </c>
      <c r="F35" s="227">
        <v>2300</v>
      </c>
    </row>
    <row r="36" spans="1:6" s="221" customFormat="1" x14ac:dyDescent="0.2">
      <c r="A36" s="872" t="str">
        <f>'(G1) Fjalori'!A247</f>
        <v>Tarifa për ndriçimin publik nga institucionet</v>
      </c>
      <c r="B36" s="873"/>
      <c r="C36" s="248" t="s">
        <v>907</v>
      </c>
      <c r="D36" s="227">
        <v>138</v>
      </c>
      <c r="E36" s="227">
        <v>141</v>
      </c>
      <c r="F36" s="227">
        <v>140</v>
      </c>
    </row>
    <row r="37" spans="1:6" s="221" customFormat="1" x14ac:dyDescent="0.2">
      <c r="A37" s="872" t="str">
        <f>'(G1) Fjalori'!A248</f>
        <v>Tarifa për ndriçimin publik nga biznesi</v>
      </c>
      <c r="B37" s="873"/>
      <c r="C37" s="248" t="s">
        <v>908</v>
      </c>
      <c r="D37" s="227">
        <v>1956</v>
      </c>
      <c r="E37" s="227">
        <v>1349</v>
      </c>
      <c r="F37" s="227">
        <v>2250</v>
      </c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1244</v>
      </c>
      <c r="E38" s="396">
        <f t="shared" ref="E38:F38" si="5">SUM(E39:E41)</f>
        <v>948</v>
      </c>
      <c r="F38" s="396">
        <f t="shared" si="5"/>
        <v>1450</v>
      </c>
    </row>
    <row r="39" spans="1:6" s="221" customFormat="1" x14ac:dyDescent="0.2">
      <c r="A39" s="872" t="str">
        <f>'(G1) Fjalori'!A250</f>
        <v>Tarifa për gjelbërimin nga familjet</v>
      </c>
      <c r="B39" s="873"/>
      <c r="C39" s="248" t="s">
        <v>909</v>
      </c>
      <c r="D39" s="227"/>
      <c r="E39" s="227"/>
      <c r="F39" s="227"/>
    </row>
    <row r="40" spans="1:6" s="221" customFormat="1" x14ac:dyDescent="0.2">
      <c r="A40" s="872" t="str">
        <f>'(G1) Fjalori'!A251</f>
        <v>Tarifa për gjelbërimin nga Institucionet</v>
      </c>
      <c r="B40" s="873"/>
      <c r="C40" s="248" t="s">
        <v>910</v>
      </c>
      <c r="D40" s="227">
        <v>81</v>
      </c>
      <c r="E40" s="227">
        <v>97</v>
      </c>
      <c r="F40" s="227">
        <v>100</v>
      </c>
    </row>
    <row r="41" spans="1:6" s="221" customFormat="1" x14ac:dyDescent="0.2">
      <c r="A41" s="872" t="str">
        <f>'(G1) Fjalori'!A252</f>
        <v>Tarifa për gjelbërimin nga bizneset</v>
      </c>
      <c r="B41" s="873"/>
      <c r="C41" s="248" t="s">
        <v>911</v>
      </c>
      <c r="D41" s="227">
        <v>1163</v>
      </c>
      <c r="E41" s="227">
        <v>851</v>
      </c>
      <c r="F41" s="227">
        <v>1350</v>
      </c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6216</v>
      </c>
      <c r="E42" s="396">
        <f>SUM(E43:E55)</f>
        <v>8749</v>
      </c>
      <c r="F42" s="396">
        <f>SUM(F43:F55)</f>
        <v>9874</v>
      </c>
    </row>
    <row r="43" spans="1:6" s="221" customFormat="1" x14ac:dyDescent="0.2">
      <c r="A43" s="872" t="str">
        <f>'(G1) Fjalori'!A254</f>
        <v>Tarifa për shërbimet administrative të bashkisë</v>
      </c>
      <c r="B43" s="873"/>
      <c r="C43" s="248" t="s">
        <v>878</v>
      </c>
      <c r="D43" s="227">
        <v>3102</v>
      </c>
      <c r="E43" s="227">
        <v>2774</v>
      </c>
      <c r="F43" s="227">
        <v>3000</v>
      </c>
    </row>
    <row r="44" spans="1:6" s="221" customFormat="1" x14ac:dyDescent="0.2">
      <c r="A44" s="872" t="str">
        <f>'(G1) Fjalori'!A255</f>
        <v>Tarifa për dhënien e liçensave, lejeve e autorizimeve</v>
      </c>
      <c r="B44" s="873"/>
      <c r="C44" s="248" t="s">
        <v>879</v>
      </c>
      <c r="D44" s="227"/>
      <c r="E44" s="227"/>
      <c r="F44" s="227"/>
    </row>
    <row r="45" spans="1:6" s="221" customFormat="1" x14ac:dyDescent="0.2">
      <c r="A45" s="872" t="str">
        <f>'(G1) Fjalori'!A256</f>
        <v>Tarifa të kontrollit të zhvillimit të territorit</v>
      </c>
      <c r="B45" s="873"/>
      <c r="C45" s="248" t="s">
        <v>880</v>
      </c>
      <c r="D45" s="227"/>
      <c r="E45" s="227"/>
      <c r="F45" s="227"/>
    </row>
    <row r="46" spans="1:6" s="221" customFormat="1" x14ac:dyDescent="0.2">
      <c r="A46" s="872" t="str">
        <f>'(G1) Fjalori'!A257</f>
        <v>Tarifa për vulosje veterinarie të bagëtive të therura</v>
      </c>
      <c r="B46" s="873"/>
      <c r="C46" s="248" t="s">
        <v>881</v>
      </c>
      <c r="D46" s="227">
        <v>109</v>
      </c>
      <c r="E46" s="227">
        <v>243</v>
      </c>
      <c r="F46" s="227">
        <v>200</v>
      </c>
    </row>
    <row r="47" spans="1:6" s="221" customFormat="1" x14ac:dyDescent="0.2">
      <c r="A47" s="872" t="str">
        <f>'(G1) Fjalori'!A258</f>
        <v>Tarifa e liçensimit të veprimtarive të transportit</v>
      </c>
      <c r="B47" s="873"/>
      <c r="C47" s="248" t="s">
        <v>882</v>
      </c>
      <c r="D47" s="227">
        <v>1261</v>
      </c>
      <c r="E47" s="227">
        <v>1533</v>
      </c>
      <c r="F47" s="227">
        <v>1600</v>
      </c>
    </row>
    <row r="48" spans="1:6" s="221" customFormat="1" x14ac:dyDescent="0.2">
      <c r="A48" s="872" t="str">
        <f>'(G1) Fjalori'!A259</f>
        <v>Tarifa e parkimit për mjetet e liçensuara dhe vendparkime publike</v>
      </c>
      <c r="B48" s="873"/>
      <c r="C48" s="248" t="s">
        <v>883</v>
      </c>
      <c r="D48" s="227">
        <v>782</v>
      </c>
      <c r="E48" s="227">
        <v>956</v>
      </c>
      <c r="F48" s="227">
        <v>1000</v>
      </c>
    </row>
    <row r="49" spans="1:6" s="221" customFormat="1" x14ac:dyDescent="0.2">
      <c r="A49" s="872" t="str">
        <f>'(G1) Fjalori'!A260</f>
        <v>Tarifa për dhënie liçense për tregtimin e naftës bruto dhe nënprodukteve të saj</v>
      </c>
      <c r="B49" s="873"/>
      <c r="C49" s="248" t="s">
        <v>884</v>
      </c>
      <c r="D49" s="227"/>
      <c r="E49" s="227">
        <v>3000</v>
      </c>
      <c r="F49" s="227">
        <v>3000</v>
      </c>
    </row>
    <row r="50" spans="1:6" s="221" customFormat="1" x14ac:dyDescent="0.2">
      <c r="A50" s="872" t="str">
        <f>'(G1) Fjalori'!A261</f>
        <v>Tarifa për pyejt dhe kullotat</v>
      </c>
      <c r="B50" s="873"/>
      <c r="C50" s="248" t="s">
        <v>885</v>
      </c>
      <c r="D50" s="227"/>
      <c r="E50" s="227"/>
      <c r="F50" s="227">
        <v>500</v>
      </c>
    </row>
    <row r="51" spans="1:6" s="221" customFormat="1" x14ac:dyDescent="0.2">
      <c r="A51" s="872" t="str">
        <f>'(G1) Fjalori'!A262</f>
        <v>Tarifa për shërbimet shtesë nga zjarrëfiksja</v>
      </c>
      <c r="B51" s="873"/>
      <c r="C51" s="248" t="s">
        <v>886</v>
      </c>
      <c r="D51" s="227">
        <v>437</v>
      </c>
      <c r="E51" s="227">
        <v>118</v>
      </c>
      <c r="F51" s="227">
        <v>174</v>
      </c>
    </row>
    <row r="52" spans="1:6" s="221" customFormat="1" x14ac:dyDescent="0.2">
      <c r="A52" s="872" t="str">
        <f>'(G1) Fjalori'!A263</f>
        <v>Tarifa për zënien dhe përdorimin e hapsirës publike dhe fasadave</v>
      </c>
      <c r="B52" s="873"/>
      <c r="C52" s="248" t="s">
        <v>887</v>
      </c>
      <c r="D52" s="227">
        <v>525</v>
      </c>
      <c r="E52" s="227">
        <v>125</v>
      </c>
      <c r="F52" s="227">
        <v>400</v>
      </c>
    </row>
    <row r="53" spans="1:6" s="221" customFormat="1" x14ac:dyDescent="0.2">
      <c r="A53" s="872" t="str">
        <f>'(G1) Fjalori'!A264</f>
        <v xml:space="preserve">Tarifa për trajtimin e mbetjeve inerte në landfille </v>
      </c>
      <c r="B53" s="873"/>
      <c r="C53" s="248" t="s">
        <v>888</v>
      </c>
      <c r="D53" s="227"/>
      <c r="E53" s="227"/>
      <c r="F53" s="227"/>
    </row>
    <row r="54" spans="1:6" s="221" customFormat="1" x14ac:dyDescent="0.2">
      <c r="A54" s="872" t="str">
        <f>'(G1) Fjalori'!A265</f>
        <v>Tarifa për linjat ajrore dhe nëntoksore (Telefoni, Energji, TV Kabllor, Internet)</v>
      </c>
      <c r="B54" s="873"/>
      <c r="C54" s="248" t="s">
        <v>889</v>
      </c>
      <c r="D54" s="227"/>
      <c r="E54" s="227"/>
      <c r="F54" s="227"/>
    </row>
    <row r="55" spans="1:6" s="221" customFormat="1" x14ac:dyDescent="0.2">
      <c r="A55" s="872" t="str">
        <f>'(G1) Fjalori'!A266</f>
        <v>Tarifa nga dokumentat për tender, ankand etj</v>
      </c>
      <c r="B55" s="873"/>
      <c r="C55" s="248" t="s">
        <v>890</v>
      </c>
      <c r="D55" s="227"/>
      <c r="E55" s="227"/>
      <c r="F55" s="227"/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6822</v>
      </c>
      <c r="E56" s="396">
        <f t="shared" ref="E56:F56" si="6">SUM(E57:E65)</f>
        <v>5035</v>
      </c>
      <c r="F56" s="396">
        <f t="shared" si="6"/>
        <v>7000</v>
      </c>
    </row>
    <row r="57" spans="1:6" s="221" customFormat="1" x14ac:dyDescent="0.2">
      <c r="A57" s="872" t="str">
        <f>'(G1) Fjalori'!A268</f>
        <v>Bibloteka</v>
      </c>
      <c r="B57" s="873"/>
      <c r="C57" s="248" t="s">
        <v>891</v>
      </c>
      <c r="D57" s="227"/>
      <c r="E57" s="227"/>
      <c r="F57" s="227"/>
    </row>
    <row r="58" spans="1:6" s="221" customFormat="1" x14ac:dyDescent="0.2">
      <c r="A58" s="872" t="str">
        <f>'(G1) Fjalori'!A269</f>
        <v>Muzeumet</v>
      </c>
      <c r="B58" s="873"/>
      <c r="C58" s="248" t="s">
        <v>892</v>
      </c>
      <c r="D58" s="227"/>
      <c r="E58" s="227"/>
      <c r="F58" s="227"/>
    </row>
    <row r="59" spans="1:6" s="221" customFormat="1" x14ac:dyDescent="0.2">
      <c r="A59" s="872" t="str">
        <f>'(G1) Fjalori'!A270</f>
        <v>Teatri</v>
      </c>
      <c r="B59" s="873"/>
      <c r="C59" s="248" t="s">
        <v>893</v>
      </c>
      <c r="D59" s="227"/>
      <c r="E59" s="227"/>
      <c r="F59" s="227"/>
    </row>
    <row r="60" spans="1:6" s="221" customFormat="1" x14ac:dyDescent="0.2">
      <c r="A60" s="872" t="str">
        <f>'(G1) Fjalori'!A271</f>
        <v>Qendra kulturore e fëmijëve</v>
      </c>
      <c r="B60" s="873"/>
      <c r="C60" s="248" t="s">
        <v>894</v>
      </c>
      <c r="D60" s="227"/>
      <c r="E60" s="227"/>
      <c r="F60" s="227"/>
    </row>
    <row r="61" spans="1:6" s="221" customFormat="1" x14ac:dyDescent="0.2">
      <c r="A61" s="872" t="str">
        <f>'(G1) Fjalori'!A272</f>
        <v>Pallati i sportit</v>
      </c>
      <c r="B61" s="873"/>
      <c r="C61" s="248" t="s">
        <v>895</v>
      </c>
      <c r="D61" s="227"/>
      <c r="E61" s="227"/>
      <c r="F61" s="227"/>
    </row>
    <row r="62" spans="1:6" s="221" customFormat="1" x14ac:dyDescent="0.2">
      <c r="A62" s="872" t="str">
        <f>'(G1) Fjalori'!A273</f>
        <v>Qendra Komunitare</v>
      </c>
      <c r="B62" s="873"/>
      <c r="C62" s="248" t="s">
        <v>896</v>
      </c>
      <c r="D62" s="227"/>
      <c r="E62" s="227"/>
      <c r="F62" s="227"/>
    </row>
    <row r="63" spans="1:6" s="221" customFormat="1" x14ac:dyDescent="0.2">
      <c r="A63" s="872" t="str">
        <f>'(G1) Fjalori'!A274</f>
        <v>Mensa (Konviktet)</v>
      </c>
      <c r="B63" s="873"/>
      <c r="C63" s="248" t="s">
        <v>897</v>
      </c>
      <c r="D63" s="227">
        <v>132</v>
      </c>
      <c r="E63" s="227"/>
      <c r="F63" s="227"/>
    </row>
    <row r="64" spans="1:6" s="221" customFormat="1" x14ac:dyDescent="0.2">
      <c r="A64" s="872" t="str">
        <f>'(G1) Fjalori'!A275</f>
        <v>Kopshtet</v>
      </c>
      <c r="B64" s="873"/>
      <c r="C64" s="248" t="s">
        <v>898</v>
      </c>
      <c r="D64" s="227">
        <v>4945</v>
      </c>
      <c r="E64" s="227">
        <v>3546</v>
      </c>
      <c r="F64" s="227">
        <v>5000</v>
      </c>
    </row>
    <row r="65" spans="1:6" s="221" customFormat="1" x14ac:dyDescent="0.2">
      <c r="A65" s="872" t="str">
        <f>'(G1) Fjalori'!A276</f>
        <v>Çerdhet</v>
      </c>
      <c r="B65" s="873"/>
      <c r="C65" s="248" t="s">
        <v>899</v>
      </c>
      <c r="D65" s="227">
        <v>1745</v>
      </c>
      <c r="E65" s="227">
        <v>1489</v>
      </c>
      <c r="F65" s="227">
        <v>2000</v>
      </c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/>
      <c r="E66" s="397"/>
      <c r="F66" s="397"/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/>
      <c r="E67" s="397"/>
      <c r="F67" s="397"/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/>
      <c r="E68" s="397"/>
      <c r="F68" s="397"/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>
        <v>29730</v>
      </c>
      <c r="E69" s="397">
        <v>8978</v>
      </c>
      <c r="F69" s="397">
        <v>41100</v>
      </c>
    </row>
    <row r="70" spans="1:6" s="221" customFormat="1" ht="18.75" x14ac:dyDescent="0.25">
      <c r="A70" s="883" t="str">
        <f>'(G1) Fjalori'!A281</f>
        <v>TË ARDHURAT E TJERA</v>
      </c>
      <c r="B70" s="885"/>
      <c r="C70" s="502" t="s">
        <v>845</v>
      </c>
      <c r="D70" s="441">
        <f>SUM(D71:D84)</f>
        <v>14277</v>
      </c>
      <c r="E70" s="441">
        <f>SUM(E71:E84)</f>
        <v>30127</v>
      </c>
      <c r="F70" s="441">
        <f>SUM(F71:F84)</f>
        <v>10200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>
        <v>6712</v>
      </c>
      <c r="E71" s="397">
        <v>10176</v>
      </c>
      <c r="F71" s="397">
        <v>10200</v>
      </c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/>
      <c r="E72" s="397"/>
      <c r="F72" s="397"/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/>
      <c r="E73" s="397"/>
      <c r="F73" s="397"/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/>
      <c r="E74" s="397"/>
      <c r="F74" s="397"/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/>
      <c r="E75" s="397"/>
      <c r="F75" s="397"/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/>
      <c r="E76" s="397"/>
      <c r="F76" s="397"/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/>
      <c r="E77" s="397"/>
      <c r="F77" s="397"/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/>
      <c r="E78" s="397"/>
      <c r="F78" s="397"/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/>
      <c r="E79" s="397"/>
      <c r="F79" s="397"/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/>
      <c r="E80" s="397"/>
      <c r="F80" s="397"/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/>
      <c r="E81" s="397"/>
      <c r="F81" s="397"/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/>
      <c r="E82" s="397"/>
      <c r="F82" s="397"/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/>
      <c r="E83" s="397"/>
      <c r="F83" s="397"/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>
        <v>7565</v>
      </c>
      <c r="E84" s="397">
        <v>19951</v>
      </c>
      <c r="F84" s="397"/>
    </row>
    <row r="85" spans="1:6" s="221" customFormat="1" ht="18.75" x14ac:dyDescent="0.25">
      <c r="A85" s="874" t="str">
        <f>'(G1) Fjalori'!A296</f>
        <v>TË ARDHURA NGA BUXHETI QENDROR</v>
      </c>
      <c r="B85" s="875"/>
      <c r="C85" s="501" t="s">
        <v>839</v>
      </c>
      <c r="D85" s="440">
        <f>D86+D87+D90</f>
        <v>1402088</v>
      </c>
      <c r="E85" s="440">
        <f t="shared" ref="E85:F85" si="7">E86+E87+E90</f>
        <v>1597746</v>
      </c>
      <c r="F85" s="440">
        <f t="shared" si="7"/>
        <v>1608678</v>
      </c>
    </row>
    <row r="86" spans="1:6" s="221" customFormat="1" ht="18.75" x14ac:dyDescent="0.25">
      <c r="A86" s="876" t="str">
        <f>'(G1) Fjalori'!A297</f>
        <v>Transferta e pakushtëzuar</v>
      </c>
      <c r="B86" s="877"/>
      <c r="C86" s="502" t="s">
        <v>846</v>
      </c>
      <c r="D86" s="500">
        <v>399876</v>
      </c>
      <c r="E86" s="397">
        <v>409240</v>
      </c>
      <c r="F86" s="397">
        <v>416544</v>
      </c>
    </row>
    <row r="87" spans="1:6" s="221" customFormat="1" ht="18.75" x14ac:dyDescent="0.25">
      <c r="A87" s="876" t="str">
        <f>'(G1) Fjalori'!A298</f>
        <v>Transferta e kushtëzuar</v>
      </c>
      <c r="B87" s="877"/>
      <c r="C87" s="502" t="s">
        <v>848</v>
      </c>
      <c r="D87" s="441">
        <f>SUM(D88:D89)</f>
        <v>775176</v>
      </c>
      <c r="E87" s="441">
        <f t="shared" ref="E87:F87" si="8">SUM(E88:E89)</f>
        <v>957261</v>
      </c>
      <c r="F87" s="441">
        <f t="shared" si="8"/>
        <v>957261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>
        <f>414697+360479</f>
        <v>775176</v>
      </c>
      <c r="E88" s="227">
        <f>531987+425274</f>
        <v>957261</v>
      </c>
      <c r="F88" s="227">
        <f>531987+425274</f>
        <v>957261</v>
      </c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/>
      <c r="E89" s="227"/>
      <c r="F89" s="227"/>
    </row>
    <row r="90" spans="1:6" s="221" customFormat="1" ht="18.75" x14ac:dyDescent="0.25">
      <c r="A90" s="876" t="str">
        <f>'(G1) Fjalori'!A301</f>
        <v>Trasferta specifike</v>
      </c>
      <c r="B90" s="877"/>
      <c r="C90" s="502" t="s">
        <v>847</v>
      </c>
      <c r="D90" s="500">
        <v>227036</v>
      </c>
      <c r="E90" s="397">
        <v>231245</v>
      </c>
      <c r="F90" s="397">
        <v>234873</v>
      </c>
    </row>
    <row r="91" spans="1:6" s="221" customFormat="1" ht="18.75" x14ac:dyDescent="0.25">
      <c r="A91" s="874" t="str">
        <f>'(G1) Fjalori'!A302</f>
        <v>HUAMARRJA</v>
      </c>
      <c r="B91" s="875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76" t="str">
        <f>'(G1) Fjalori'!A303</f>
        <v>Huamarrja afatshkurtë</v>
      </c>
      <c r="B92" s="877"/>
      <c r="C92" s="502" t="s">
        <v>849</v>
      </c>
      <c r="D92" s="500"/>
      <c r="E92" s="397"/>
      <c r="F92" s="397"/>
    </row>
    <row r="93" spans="1:6" s="221" customFormat="1" ht="18.75" x14ac:dyDescent="0.25">
      <c r="A93" s="876" t="str">
        <f>'(G1) Fjalori'!A304</f>
        <v>Huamarrja afatgjatë</v>
      </c>
      <c r="B93" s="877"/>
      <c r="C93" s="502" t="s">
        <v>850</v>
      </c>
      <c r="D93" s="500"/>
      <c r="E93" s="397"/>
      <c r="F93" s="397"/>
    </row>
    <row r="94" spans="1:6" s="221" customFormat="1" ht="18.75" x14ac:dyDescent="0.25">
      <c r="A94" s="874" t="str">
        <f>'(G1) Fjalori'!A305</f>
        <v>TRASHËGIMI NGA VITI I SHKUAR</v>
      </c>
      <c r="B94" s="875"/>
      <c r="C94" s="501" t="s">
        <v>841</v>
      </c>
      <c r="D94" s="440">
        <f>SUM(D95:D96)</f>
        <v>0</v>
      </c>
      <c r="E94" s="440">
        <f t="shared" ref="E94:F94" si="10">SUM(E95:E96)</f>
        <v>0</v>
      </c>
      <c r="F94" s="440">
        <f t="shared" si="10"/>
        <v>0</v>
      </c>
    </row>
    <row r="95" spans="1:6" s="221" customFormat="1" ht="18.75" x14ac:dyDescent="0.25">
      <c r="A95" s="876" t="str">
        <f>'(G1) Fjalori'!A306</f>
        <v>Trashëgimi pa destinacion</v>
      </c>
      <c r="B95" s="877"/>
      <c r="C95" s="502" t="s">
        <v>851</v>
      </c>
      <c r="D95" s="500"/>
      <c r="E95" s="500"/>
      <c r="F95" s="397"/>
    </row>
    <row r="96" spans="1:6" s="221" customFormat="1" ht="18.75" x14ac:dyDescent="0.25">
      <c r="A96" s="876" t="str">
        <f>'(G1) Fjalori'!A307</f>
        <v>Trashëgimi me destinacion</v>
      </c>
      <c r="B96" s="877"/>
      <c r="C96" s="502" t="s">
        <v>852</v>
      </c>
      <c r="D96" s="500"/>
      <c r="E96" s="500"/>
      <c r="F96" s="397"/>
    </row>
    <row r="97" spans="1:6" s="445" customFormat="1" ht="19.5" thickBot="1" x14ac:dyDescent="0.3">
      <c r="A97" s="880" t="str">
        <f>'(G1) Fjalori'!A352</f>
        <v>TOTALI I BURIMEVE BUXHETORE</v>
      </c>
      <c r="B97" s="881"/>
      <c r="C97" s="720"/>
      <c r="D97" s="794">
        <f>D94+D91+D85+D7</f>
        <v>1521488</v>
      </c>
      <c r="E97" s="794">
        <f>E94+E91+E85+E7</f>
        <v>1715615</v>
      </c>
      <c r="F97" s="794">
        <f>F94+F91+F85+F7</f>
        <v>1759743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7Z2+1SgI1xMgAqKhZufrL/M5ty/9/OjBqLAPI8x2nDDR1bUtUqpKZhrVyFE5nAtMp3HjVzq2sFPkMG0vnZkd+g==" saltValue="syV7UuXZKipRyTGwWfi96g==" spinCount="100000"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67"/>
  <sheetViews>
    <sheetView showGridLines="0" zoomScaleNormal="100" workbookViewId="0">
      <selection activeCell="N21" sqref="N21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64" t="str">
        <f>'(G1) Fjalori'!A13</f>
        <v>Verdhë = Per tu plotësuar nga Departamenti i Financës</v>
      </c>
      <c r="B1" s="865"/>
      <c r="C1" s="865"/>
      <c r="D1" s="865"/>
      <c r="E1" s="865"/>
      <c r="F1" s="865"/>
      <c r="G1" s="865"/>
      <c r="H1" s="865"/>
      <c r="I1" s="865"/>
      <c r="J1" s="865"/>
      <c r="K1" s="865"/>
      <c r="L1" s="865"/>
      <c r="M1" s="865"/>
      <c r="N1" s="865"/>
      <c r="O1" s="866"/>
    </row>
    <row r="3" spans="1:16" ht="21" x14ac:dyDescent="0.35">
      <c r="A3" s="890" t="str">
        <f>'(G1) Fjalori'!A311</f>
        <v>(C3) DETYRIMET E PRAPAMBETURA</v>
      </c>
      <c r="B3" s="890"/>
      <c r="C3" s="890"/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0"/>
    </row>
    <row r="4" spans="1:16" s="97" customFormat="1" x14ac:dyDescent="0.2">
      <c r="A4" s="67"/>
      <c r="B4" s="67"/>
      <c r="J4" s="67"/>
      <c r="M4" s="67"/>
    </row>
    <row r="5" spans="1:16" x14ac:dyDescent="0.2">
      <c r="C5" s="690">
        <f>'(B1)Informacion i përgjithshëm '!B7</f>
        <v>2021</v>
      </c>
      <c r="D5" s="71"/>
      <c r="E5" s="886">
        <f>'(B1)Informacion i përgjithshëm '!B7</f>
        <v>2021</v>
      </c>
      <c r="F5" s="886"/>
      <c r="G5" s="71"/>
      <c r="H5" s="886">
        <f>'(B1)Informacion i përgjithshëm '!B8</f>
        <v>2022</v>
      </c>
      <c r="I5" s="886"/>
      <c r="J5" s="71"/>
      <c r="K5" s="886">
        <f>'(B1)Informacion i përgjithshëm '!B9</f>
        <v>2023</v>
      </c>
      <c r="L5" s="886"/>
      <c r="M5" s="71"/>
      <c r="N5" s="886">
        <f>'(B1)Informacion i përgjithshëm '!B10</f>
        <v>2024</v>
      </c>
      <c r="O5" s="886"/>
    </row>
    <row r="6" spans="1:16" s="70" customFormat="1" ht="12.75" customHeight="1" x14ac:dyDescent="0.25">
      <c r="A6" s="69"/>
      <c r="B6" s="69"/>
      <c r="C6" s="691" t="str">
        <f>'(G1) Fjalori'!A7</f>
        <v>Viti aktual</v>
      </c>
      <c r="D6" s="241"/>
      <c r="E6" s="889" t="str">
        <f>'(G1) Fjalori'!A7</f>
        <v>Viti aktual</v>
      </c>
      <c r="F6" s="889"/>
      <c r="G6" s="241"/>
      <c r="H6" s="887" t="str">
        <f>'(G1) Fjalori'!A8</f>
        <v>Viti t+1 (I pritur)</v>
      </c>
      <c r="I6" s="888"/>
      <c r="J6" s="241"/>
      <c r="K6" s="887" t="str">
        <f>'(G1) Fjalori'!A9</f>
        <v>Viti t+2 (I pritur)</v>
      </c>
      <c r="L6" s="888"/>
      <c r="M6" s="241"/>
      <c r="N6" s="887" t="str">
        <f>'(G1) Fjalori'!A10</f>
        <v>Viti t+3 (I pritur)</v>
      </c>
      <c r="O6" s="888"/>
    </row>
    <row r="7" spans="1:16" s="231" customFormat="1" ht="51" x14ac:dyDescent="0.25">
      <c r="A7" s="660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1968</v>
      </c>
      <c r="B8" s="541"/>
      <c r="C8" s="51">
        <v>101329</v>
      </c>
      <c r="D8" s="73"/>
      <c r="E8" s="51">
        <v>31400</v>
      </c>
      <c r="F8" s="272">
        <f>C8-E8</f>
        <v>69929</v>
      </c>
      <c r="G8" s="73"/>
      <c r="H8" s="51">
        <v>41000</v>
      </c>
      <c r="I8" s="272">
        <f>F8-H8</f>
        <v>28929</v>
      </c>
      <c r="J8" s="73"/>
      <c r="K8" s="51">
        <v>20000</v>
      </c>
      <c r="L8" s="272">
        <f>I8-K8</f>
        <v>8929</v>
      </c>
      <c r="M8" s="73"/>
      <c r="N8" s="51">
        <v>8929</v>
      </c>
      <c r="O8" s="272">
        <f>L8-N8</f>
        <v>0</v>
      </c>
      <c r="P8" s="115" t="str">
        <f>IF(L8&lt;0,"INCORRECT ENTRY!","OK!")</f>
        <v>OK!</v>
      </c>
    </row>
    <row r="9" spans="1:16" x14ac:dyDescent="0.2">
      <c r="A9" s="271" t="s">
        <v>1969</v>
      </c>
      <c r="B9" s="542"/>
      <c r="C9" s="51">
        <v>8687</v>
      </c>
      <c r="D9" s="73"/>
      <c r="E9" s="51">
        <v>6000</v>
      </c>
      <c r="F9" s="272">
        <f t="shared" ref="F9:F36" si="0">C9-E9</f>
        <v>2687</v>
      </c>
      <c r="G9" s="73"/>
      <c r="H9" s="51">
        <v>2000</v>
      </c>
      <c r="I9" s="272">
        <f t="shared" ref="I9:I36" si="1">F9-H9</f>
        <v>687</v>
      </c>
      <c r="J9" s="73"/>
      <c r="K9" s="51">
        <v>687</v>
      </c>
      <c r="L9" s="272">
        <f t="shared" ref="L9:L36" si="2">I9-K9</f>
        <v>0</v>
      </c>
      <c r="M9" s="73"/>
      <c r="N9" s="51"/>
      <c r="O9" s="272">
        <f t="shared" ref="O9:O36" si="3">L9-N9</f>
        <v>0</v>
      </c>
      <c r="P9" s="115" t="str">
        <f t="shared" ref="P9:P36" si="4">IF(L9&lt;0,"INCORRECT ENTRY!","OK!")</f>
        <v>OK!</v>
      </c>
    </row>
    <row r="10" spans="1:16" x14ac:dyDescent="0.2">
      <c r="A10" s="271" t="s">
        <v>1970</v>
      </c>
      <c r="B10" s="542"/>
      <c r="C10" s="51">
        <v>4173</v>
      </c>
      <c r="D10" s="73"/>
      <c r="E10" s="51">
        <v>4000</v>
      </c>
      <c r="F10" s="272">
        <f t="shared" si="0"/>
        <v>173</v>
      </c>
      <c r="G10" s="73"/>
      <c r="H10" s="51">
        <v>173</v>
      </c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 t="s">
        <v>1109</v>
      </c>
      <c r="B11" s="543"/>
      <c r="C11" s="206">
        <v>58307</v>
      </c>
      <c r="D11" s="73"/>
      <c r="E11" s="51">
        <v>35000</v>
      </c>
      <c r="F11" s="272">
        <f t="shared" si="0"/>
        <v>23307</v>
      </c>
      <c r="G11" s="73"/>
      <c r="H11" s="51">
        <v>23307</v>
      </c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 t="s">
        <v>1971</v>
      </c>
      <c r="B12" s="543"/>
      <c r="C12" s="206">
        <v>867</v>
      </c>
      <c r="D12" s="73"/>
      <c r="E12" s="51">
        <v>867</v>
      </c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/>
      <c r="B13" s="543"/>
      <c r="C13" s="206"/>
      <c r="D13" s="73"/>
      <c r="E13" s="51"/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/>
      <c r="B14" s="543"/>
      <c r="C14" s="206"/>
      <c r="D14" s="73"/>
      <c r="E14" s="51"/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3"/>
      <c r="C15" s="206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3"/>
      <c r="C16" s="206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/>
      <c r="B17" s="543"/>
      <c r="C17" s="206"/>
      <c r="D17" s="73"/>
      <c r="E17" s="51"/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3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/>
      <c r="B19" s="543"/>
      <c r="C19" s="206"/>
      <c r="D19" s="73"/>
      <c r="E19" s="51"/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3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/>
      <c r="B21" s="543"/>
      <c r="C21" s="206"/>
      <c r="D21" s="73"/>
      <c r="E21" s="51"/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/>
      <c r="B22" s="543"/>
      <c r="C22" s="206"/>
      <c r="D22" s="73"/>
      <c r="E22" s="51"/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3"/>
      <c r="C23" s="206"/>
      <c r="D23" s="73"/>
      <c r="E23" s="51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/>
      <c r="B24" s="543"/>
      <c r="C24" s="206"/>
      <c r="D24" s="73"/>
      <c r="E24" s="51"/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/>
      <c r="B25" s="543"/>
      <c r="C25" s="206"/>
      <c r="D25" s="73"/>
      <c r="E25" s="51"/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/>
      <c r="B26" s="543"/>
      <c r="C26" s="206"/>
      <c r="D26" s="73"/>
      <c r="E26" s="51"/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/>
      <c r="B27" s="543"/>
      <c r="C27" s="206"/>
      <c r="D27" s="73"/>
      <c r="E27" s="51"/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/>
      <c r="B28" s="543"/>
      <c r="C28" s="206"/>
      <c r="D28" s="73"/>
      <c r="E28" s="51"/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/>
      <c r="B29" s="543"/>
      <c r="C29" s="206"/>
      <c r="D29" s="73"/>
      <c r="E29" s="51"/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3"/>
      <c r="C30" s="206"/>
      <c r="D30" s="73"/>
      <c r="E30" s="51"/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/>
      <c r="B31" s="543"/>
      <c r="C31" s="206"/>
      <c r="D31" s="73"/>
      <c r="E31" s="51"/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/>
      <c r="B32" s="543"/>
      <c r="C32" s="206"/>
      <c r="D32" s="73"/>
      <c r="E32" s="51"/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3"/>
      <c r="C33" s="206"/>
      <c r="D33" s="73"/>
      <c r="E33" s="51"/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3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/>
      <c r="B35" s="543"/>
      <c r="C35" s="206"/>
      <c r="D35" s="73"/>
      <c r="E35" s="51"/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/>
      <c r="B36" s="543"/>
      <c r="C36" s="206"/>
      <c r="D36" s="73"/>
      <c r="E36" s="51"/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743" t="str">
        <f>'(G1) Fjalori'!A319</f>
        <v>Total</v>
      </c>
      <c r="B37" s="20"/>
      <c r="C37" s="76">
        <f>SUM(C8:C36)</f>
        <v>173363</v>
      </c>
      <c r="D37" s="208"/>
      <c r="E37" s="76">
        <f>SUM(E8:E36)</f>
        <v>77267</v>
      </c>
      <c r="F37" s="76">
        <f>SUM(F8:F36)</f>
        <v>96096</v>
      </c>
      <c r="G37" s="208"/>
      <c r="H37" s="76">
        <f>SUM(H8:H36)</f>
        <v>66480</v>
      </c>
      <c r="I37" s="76">
        <f>SUM(I8:I36)</f>
        <v>29616</v>
      </c>
      <c r="J37" s="208"/>
      <c r="K37" s="76">
        <f>SUM(K8:K36)</f>
        <v>20687</v>
      </c>
      <c r="L37" s="76">
        <f>SUM(L8:L36)</f>
        <v>8929</v>
      </c>
      <c r="M37" s="208"/>
      <c r="N37" s="76">
        <f>SUM(N8:N36)</f>
        <v>8929</v>
      </c>
      <c r="O37" s="76">
        <f>SUM(O8:O36)</f>
        <v>0</v>
      </c>
    </row>
    <row r="38" spans="1:16" x14ac:dyDescent="0.2">
      <c r="J38" s="72"/>
      <c r="M38" s="72"/>
    </row>
    <row r="39" spans="1:16" x14ac:dyDescent="0.2">
      <c r="A39" s="114"/>
      <c r="B39" s="114"/>
      <c r="J39" s="72"/>
      <c r="M39" s="72"/>
    </row>
    <row r="40" spans="1:16" x14ac:dyDescent="0.2">
      <c r="C40" s="66"/>
      <c r="D40" s="66"/>
      <c r="E40" s="66"/>
      <c r="F40" s="66"/>
      <c r="G40" s="66"/>
      <c r="H40" s="66"/>
      <c r="J40" s="66"/>
      <c r="M40" s="66"/>
    </row>
    <row r="41" spans="1:16" x14ac:dyDescent="0.2">
      <c r="C41" s="66"/>
      <c r="D41" s="66"/>
      <c r="E41" s="66"/>
      <c r="F41" s="66"/>
      <c r="G41" s="66"/>
      <c r="H41" s="66"/>
      <c r="J41" s="66"/>
      <c r="M41" s="66"/>
    </row>
    <row r="42" spans="1:16" x14ac:dyDescent="0.2">
      <c r="J42" s="72"/>
      <c r="M42" s="72"/>
    </row>
    <row r="43" spans="1:16" x14ac:dyDescent="0.2">
      <c r="J43" s="72"/>
      <c r="M43" s="72"/>
    </row>
    <row r="44" spans="1:16" x14ac:dyDescent="0.2">
      <c r="J44" s="72"/>
      <c r="M44" s="72"/>
    </row>
    <row r="45" spans="1:16" x14ac:dyDescent="0.2">
      <c r="J45" s="72"/>
      <c r="M45" s="72"/>
    </row>
    <row r="46" spans="1:16" x14ac:dyDescent="0.2">
      <c r="J46" s="72"/>
      <c r="M46" s="72"/>
    </row>
    <row r="47" spans="1:16" x14ac:dyDescent="0.2">
      <c r="J47" s="72"/>
      <c r="M47" s="72"/>
    </row>
    <row r="48" spans="1:16" x14ac:dyDescent="0.2">
      <c r="J48" s="72"/>
      <c r="M48" s="72"/>
    </row>
    <row r="49" spans="10:13" x14ac:dyDescent="0.2">
      <c r="J49" s="72"/>
      <c r="M49" s="72"/>
    </row>
    <row r="50" spans="10:13" x14ac:dyDescent="0.2">
      <c r="J50" s="72"/>
      <c r="M50" s="72"/>
    </row>
    <row r="51" spans="10:13" x14ac:dyDescent="0.2">
      <c r="J51" s="72"/>
      <c r="M51" s="72"/>
    </row>
    <row r="52" spans="10:13" x14ac:dyDescent="0.2">
      <c r="J52" s="72"/>
      <c r="M52" s="72"/>
    </row>
    <row r="53" spans="10:13" x14ac:dyDescent="0.2">
      <c r="J53" s="72"/>
      <c r="M53" s="72"/>
    </row>
    <row r="54" spans="10:13" x14ac:dyDescent="0.2">
      <c r="J54" s="72"/>
      <c r="M54" s="72"/>
    </row>
    <row r="55" spans="10:13" x14ac:dyDescent="0.2">
      <c r="J55" s="72"/>
      <c r="M55" s="72"/>
    </row>
    <row r="56" spans="10:13" x14ac:dyDescent="0.2">
      <c r="J56" s="72"/>
      <c r="M56" s="72"/>
    </row>
    <row r="57" spans="10:13" x14ac:dyDescent="0.2">
      <c r="J57" s="72"/>
      <c r="M57" s="72"/>
    </row>
    <row r="58" spans="10:13" x14ac:dyDescent="0.2">
      <c r="J58" s="72"/>
      <c r="M58" s="72"/>
    </row>
    <row r="59" spans="10:13" x14ac:dyDescent="0.2">
      <c r="J59" s="72"/>
      <c r="M59" s="72"/>
    </row>
    <row r="60" spans="10:13" x14ac:dyDescent="0.2">
      <c r="J60" s="72"/>
      <c r="M60" s="72"/>
    </row>
    <row r="61" spans="10:13" x14ac:dyDescent="0.2">
      <c r="J61" s="72"/>
      <c r="M61" s="72"/>
    </row>
    <row r="62" spans="10:13" x14ac:dyDescent="0.2">
      <c r="J62" s="72"/>
      <c r="M62" s="72"/>
    </row>
    <row r="63" spans="10:13" x14ac:dyDescent="0.2">
      <c r="J63" s="72"/>
      <c r="M63" s="72"/>
    </row>
    <row r="64" spans="10:13" x14ac:dyDescent="0.2">
      <c r="J64" s="72"/>
      <c r="M64" s="72"/>
    </row>
    <row r="65" spans="10:13" x14ac:dyDescent="0.2">
      <c r="J65" s="72"/>
      <c r="M65" s="72"/>
    </row>
    <row r="66" spans="10:13" x14ac:dyDescent="0.2">
      <c r="J66" s="72"/>
      <c r="M66" s="72"/>
    </row>
    <row r="67" spans="10:13" x14ac:dyDescent="0.2">
      <c r="J67" s="72"/>
      <c r="M67" s="72"/>
    </row>
  </sheetData>
  <sheetProtection algorithmName="SHA-512" hashValue="4tgeRJZw1LmESBj+33N4hWkQAwVklnaicGe7k9y/WN+Yrp8czxxV66lANDzrU5gGFS65yw9KSnG/FeHPxi8T1w==" saltValue="KfgUQ/E4qpwfKh/z/VOs7A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zoomScaleNormal="100" workbookViewId="0">
      <selection activeCell="D129" sqref="D12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67" t="str">
        <f>'(G1) Fjalori'!A321</f>
        <v>(C4) TRASHËGIMI ME DESTINACION</v>
      </c>
      <c r="B3" s="868"/>
      <c r="C3" s="868"/>
      <c r="D3" s="868"/>
      <c r="E3" s="868"/>
      <c r="F3" s="869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1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2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2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1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2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2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2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2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2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1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2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2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2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1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2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2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2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1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2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2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2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1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2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2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2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2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2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2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1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2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2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2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2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2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2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1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2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2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2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2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1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2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2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2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2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1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2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2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2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1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2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2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2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1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2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2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2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1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2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2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2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1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2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2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2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1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2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2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2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1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2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5"/>
      <c r="F97" s="505"/>
    </row>
    <row r="98" spans="1:6" x14ac:dyDescent="0.2">
      <c r="A98" s="113" t="str">
        <f>'(B3) Struktura Funksionale'!A86</f>
        <v>Programi 16b</v>
      </c>
      <c r="B98" s="672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2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1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2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2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2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1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2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2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2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1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2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2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2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1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2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2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2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2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1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2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2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2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2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1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2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2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2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2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5" customFormat="1" ht="22.5" hidden="1" customHeight="1" x14ac:dyDescent="0.2">
      <c r="A134" s="772" t="e">
        <f>'(B3) Struktura Funksionale'!A118</f>
        <v>#REF!</v>
      </c>
      <c r="B134" s="772" t="str">
        <f>'(B3) Struktura Funksionale'!B118</f>
        <v>096</v>
      </c>
      <c r="C134" s="773" t="str">
        <f>'(B3) Struktura Funksionale'!C118</f>
        <v>Shërbimet plotësuese në arsim</v>
      </c>
      <c r="D134" s="774"/>
      <c r="E134" s="774"/>
      <c r="F134" s="774"/>
    </row>
    <row r="135" spans="1:6" s="775" customFormat="1" hidden="1" x14ac:dyDescent="0.2">
      <c r="A135" s="113" t="str">
        <f>'(B3) Struktura Funksionale'!A119</f>
        <v>Programi 23a</v>
      </c>
      <c r="B135" s="672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7"/>
      <c r="E135" s="778"/>
      <c r="F135" s="778"/>
    </row>
    <row r="136" spans="1:6" s="775" customFormat="1" hidden="1" x14ac:dyDescent="0.2">
      <c r="A136" s="113" t="str">
        <f>'(B3) Struktura Funksionale'!A120</f>
        <v>Programi 23b</v>
      </c>
      <c r="B136" s="776">
        <f>'(B3) Struktura Funksionale'!B120</f>
        <v>0</v>
      </c>
      <c r="C136" s="654">
        <f>'(B3) Struktura Funksionale'!C120</f>
        <v>0</v>
      </c>
      <c r="D136" s="777"/>
      <c r="E136" s="778"/>
      <c r="F136" s="778"/>
    </row>
    <row r="137" spans="1:6" s="775" customFormat="1" hidden="1" x14ac:dyDescent="0.2">
      <c r="A137" s="113" t="str">
        <f>'(B3) Struktura Funksionale'!A121</f>
        <v>Programi 23c</v>
      </c>
      <c r="B137" s="776">
        <f>'(B3) Struktura Funksionale'!B121</f>
        <v>0</v>
      </c>
      <c r="C137" s="654">
        <f>'(B3) Struktura Funksionale'!C121</f>
        <v>0</v>
      </c>
      <c r="D137" s="777"/>
      <c r="E137" s="778"/>
      <c r="F137" s="778"/>
    </row>
    <row r="138" spans="1:6" s="775" customFormat="1" hidden="1" x14ac:dyDescent="0.2">
      <c r="A138" s="779"/>
      <c r="B138" s="780"/>
      <c r="C138" s="779"/>
      <c r="D138" s="781">
        <f>SUM(D135:D137)</f>
        <v>0</v>
      </c>
      <c r="E138" s="781">
        <f>SUM(E135:E137)</f>
        <v>0</v>
      </c>
      <c r="F138" s="781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1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0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2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2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2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2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1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2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2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2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1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2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2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2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1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2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2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2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2" t="str">
        <f>'(B3) Struktura Funksionale'!A143</f>
        <v>Nënfunksioni 29</v>
      </c>
      <c r="B164" s="772" t="str">
        <f>'(B3) Struktura Funksionale'!B143</f>
        <v>107</v>
      </c>
      <c r="C164" s="773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2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2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2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K7evct1GsINx4BSsQuwlRYHxErnTctz7d8ZUlzKuq6aUnjM7zhiHngTOljgGLO0wfr7l1QD/joEph5n5Ef3laA==" saltValue="8ExKjERp860z855nLf+py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Admin</cp:lastModifiedBy>
  <cp:lastPrinted>2021-06-04T09:12:35Z</cp:lastPrinted>
  <dcterms:created xsi:type="dcterms:W3CDTF">2010-09-29T13:46:00Z</dcterms:created>
  <dcterms:modified xsi:type="dcterms:W3CDTF">2021-10-26T08:26:46Z</dcterms:modified>
</cp:coreProperties>
</file>